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80" windowWidth="12120" windowHeight="8700" tabRatio="108" firstSheet="1" activeTab="1"/>
  </bookViews>
  <sheets>
    <sheet name="ПДФО МІСТА-РАЙОНИ_ГРОМАД" sheetId="7" r:id="rId1"/>
    <sheet name="Аркуш1" sheetId="10" r:id="rId2"/>
  </sheets>
  <definedNames>
    <definedName name="_xlnm._FilterDatabase" localSheetId="1" hidden="1">Аркуш1!$A$5:$D$6</definedName>
    <definedName name="_xlnm._FilterDatabase" localSheetId="0" hidden="1">'ПДФО МІСТА-РАЙОНИ_ГРОМАД'!$A$4:$P$1429</definedName>
    <definedName name="_xlnm.Print_Titles" localSheetId="1">Аркуш1!$5:$6</definedName>
    <definedName name="_xlnm.Print_Titles" localSheetId="0">'ПДФО МІСТА-РАЙОНИ_ГРОМАД'!$3:$4</definedName>
    <definedName name="_xlnm.Print_Area" localSheetId="0">'ПДФО МІСТА-РАЙОНИ_ГРОМАД'!$E$1:$P$1433</definedName>
  </definedNames>
  <calcPr calcId="144525"/>
</workbook>
</file>

<file path=xl/calcChain.xml><?xml version="1.0" encoding="utf-8"?>
<calcChain xmlns="http://schemas.openxmlformats.org/spreadsheetml/2006/main">
  <c r="E40" i="10" l="1"/>
  <c r="E41" i="10"/>
  <c r="E42" i="10"/>
  <c r="E43" i="10" s="1"/>
  <c r="E44" i="10" s="1"/>
  <c r="E45" i="10" s="1"/>
  <c r="E46" i="10" s="1"/>
  <c r="E47" i="10" s="1"/>
  <c r="E48" i="10" s="1"/>
  <c r="E49" i="10" s="1"/>
  <c r="E50" i="10" s="1"/>
  <c r="E51" i="10" s="1"/>
  <c r="E52" i="10" s="1"/>
  <c r="E53" i="10" s="1"/>
  <c r="E54" i="10" s="1"/>
  <c r="E39" i="10"/>
  <c r="M725" i="7" l="1"/>
  <c r="J725" i="7"/>
  <c r="K725" i="7"/>
  <c r="L725" i="7"/>
  <c r="I725" i="7"/>
  <c r="H1390" i="7" l="1"/>
  <c r="H1367" i="7"/>
  <c r="H1362" i="7"/>
  <c r="H1333" i="7"/>
  <c r="H1321" i="7"/>
  <c r="H1318" i="7"/>
  <c r="H1289" i="7"/>
  <c r="H1268" i="7"/>
  <c r="H1261" i="7"/>
  <c r="H1219" i="7"/>
  <c r="H1198" i="7"/>
  <c r="H1191" i="7"/>
  <c r="H1162" i="7"/>
  <c r="H1143" i="7"/>
  <c r="H1138" i="7"/>
  <c r="H1123" i="7"/>
  <c r="H1095" i="7"/>
  <c r="H1087" i="7"/>
  <c r="H1044" i="7"/>
  <c r="H1026" i="7"/>
  <c r="H1019" i="7" s="1"/>
  <c r="H1021" i="7"/>
  <c r="H990" i="7"/>
  <c r="H971" i="7"/>
  <c r="H963" i="7"/>
  <c r="H935" i="7"/>
  <c r="H918" i="7"/>
  <c r="H913" i="7"/>
  <c r="H871" i="7"/>
  <c r="H869" i="7"/>
  <c r="I869" i="7" s="1"/>
  <c r="H868" i="7"/>
  <c r="I868" i="7" s="1"/>
  <c r="H866" i="7"/>
  <c r="I866" i="7" s="1"/>
  <c r="H865" i="7"/>
  <c r="H864" i="7"/>
  <c r="I864" i="7" s="1"/>
  <c r="H863" i="7"/>
  <c r="I863" i="7" s="1"/>
  <c r="H862" i="7"/>
  <c r="I862" i="7" s="1"/>
  <c r="H860" i="7"/>
  <c r="H859" i="7"/>
  <c r="H858" i="7"/>
  <c r="I858" i="7" s="1"/>
  <c r="H857" i="7"/>
  <c r="I857" i="7" s="1"/>
  <c r="H856" i="7"/>
  <c r="H855" i="7"/>
  <c r="H854" i="7"/>
  <c r="I854" i="7" s="1"/>
  <c r="H853" i="7"/>
  <c r="I853" i="7" s="1"/>
  <c r="H852" i="7"/>
  <c r="H849" i="7"/>
  <c r="I849" i="7"/>
  <c r="H848" i="7"/>
  <c r="H847" i="7"/>
  <c r="H846" i="7"/>
  <c r="H838" i="7"/>
  <c r="H810" i="7"/>
  <c r="H783" i="7"/>
  <c r="H775" i="7"/>
  <c r="H689" i="7"/>
  <c r="H668" i="7"/>
  <c r="H658" i="7"/>
  <c r="H655" i="7"/>
  <c r="H629" i="7"/>
  <c r="H614" i="7"/>
  <c r="H598" i="7"/>
  <c r="H576" i="7"/>
  <c r="H571" i="7"/>
  <c r="H559" i="7"/>
  <c r="H533" i="7"/>
  <c r="H520" i="7"/>
  <c r="H494" i="7"/>
  <c r="H479" i="7"/>
  <c r="H472" i="7"/>
  <c r="H433" i="7"/>
  <c r="H412" i="7"/>
  <c r="H406" i="7"/>
  <c r="H397" i="7"/>
  <c r="H383" i="7"/>
  <c r="H377" i="7"/>
  <c r="H329" i="7"/>
  <c r="H305" i="7"/>
  <c r="H299" i="7"/>
  <c r="H287" i="7"/>
  <c r="H269" i="7"/>
  <c r="H238" i="7" s="1"/>
  <c r="H240" i="7"/>
  <c r="H181" i="7"/>
  <c r="H158" i="7"/>
  <c r="H144" i="7"/>
  <c r="H101" i="7"/>
  <c r="H84" i="7"/>
  <c r="H79" i="7"/>
  <c r="H42" i="7"/>
  <c r="H14" i="7"/>
  <c r="H7" i="7"/>
  <c r="I6" i="7"/>
  <c r="I8" i="7"/>
  <c r="I9" i="7"/>
  <c r="I10" i="7"/>
  <c r="I11" i="7"/>
  <c r="I12" i="7"/>
  <c r="I13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M30" i="7" s="1"/>
  <c r="I31" i="7"/>
  <c r="I32" i="7"/>
  <c r="I33" i="7"/>
  <c r="I34" i="7"/>
  <c r="I35" i="7"/>
  <c r="I36" i="7"/>
  <c r="I37" i="7"/>
  <c r="I38" i="7"/>
  <c r="I39" i="7"/>
  <c r="I40" i="7"/>
  <c r="I41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8" i="7"/>
  <c r="I80" i="7"/>
  <c r="I81" i="7"/>
  <c r="I82" i="7"/>
  <c r="I83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M97" i="7" s="1"/>
  <c r="I98" i="7"/>
  <c r="I99" i="7"/>
  <c r="I100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M127" i="7" s="1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3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9" i="7"/>
  <c r="I160" i="7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M207" i="7" s="1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9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I253" i="7"/>
  <c r="I254" i="7"/>
  <c r="I255" i="7"/>
  <c r="I256" i="7"/>
  <c r="I257" i="7"/>
  <c r="I258" i="7"/>
  <c r="I259" i="7"/>
  <c r="I260" i="7"/>
  <c r="M260" i="7" s="1"/>
  <c r="I261" i="7"/>
  <c r="I262" i="7"/>
  <c r="I263" i="7"/>
  <c r="I264" i="7"/>
  <c r="I265" i="7"/>
  <c r="I266" i="7"/>
  <c r="I267" i="7"/>
  <c r="I268" i="7"/>
  <c r="I270" i="7"/>
  <c r="I271" i="7"/>
  <c r="I272" i="7"/>
  <c r="I273" i="7"/>
  <c r="I274" i="7"/>
  <c r="M274" i="7" s="1"/>
  <c r="I275" i="7"/>
  <c r="I276" i="7"/>
  <c r="I277" i="7"/>
  <c r="I278" i="7"/>
  <c r="I279" i="7"/>
  <c r="I280" i="7"/>
  <c r="I281" i="7"/>
  <c r="I282" i="7"/>
  <c r="I283" i="7"/>
  <c r="I284" i="7"/>
  <c r="I285" i="7"/>
  <c r="I286" i="7"/>
  <c r="I288" i="7"/>
  <c r="I289" i="7"/>
  <c r="I290" i="7"/>
  <c r="I291" i="7"/>
  <c r="I292" i="7"/>
  <c r="I293" i="7"/>
  <c r="I294" i="7"/>
  <c r="I295" i="7"/>
  <c r="I296" i="7"/>
  <c r="I298" i="7"/>
  <c r="I300" i="7"/>
  <c r="I301" i="7"/>
  <c r="I302" i="7"/>
  <c r="I303" i="7"/>
  <c r="I304" i="7"/>
  <c r="I306" i="7"/>
  <c r="M306" i="7" s="1"/>
  <c r="I307" i="7"/>
  <c r="I308" i="7"/>
  <c r="I309" i="7"/>
  <c r="I310" i="7"/>
  <c r="M310" i="7" s="1"/>
  <c r="I311" i="7"/>
  <c r="I312" i="7"/>
  <c r="I313" i="7"/>
  <c r="I314" i="7"/>
  <c r="I315" i="7"/>
  <c r="I316" i="7"/>
  <c r="I317" i="7"/>
  <c r="I318" i="7"/>
  <c r="M318" i="7" s="1"/>
  <c r="I319" i="7"/>
  <c r="I320" i="7"/>
  <c r="I321" i="7"/>
  <c r="I322" i="7"/>
  <c r="I323" i="7"/>
  <c r="I324" i="7"/>
  <c r="I325" i="7"/>
  <c r="I326" i="7"/>
  <c r="I327" i="7"/>
  <c r="I328" i="7"/>
  <c r="I330" i="7"/>
  <c r="I331" i="7"/>
  <c r="I332" i="7"/>
  <c r="I333" i="7"/>
  <c r="I334" i="7"/>
  <c r="I335" i="7"/>
  <c r="I336" i="7"/>
  <c r="I337" i="7"/>
  <c r="I338" i="7"/>
  <c r="I339" i="7"/>
  <c r="I340" i="7"/>
  <c r="I341" i="7"/>
  <c r="I342" i="7"/>
  <c r="I343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I365" i="7"/>
  <c r="I366" i="7"/>
  <c r="I367" i="7"/>
  <c r="I368" i="7"/>
  <c r="I369" i="7"/>
  <c r="I370" i="7"/>
  <c r="M370" i="7" s="1"/>
  <c r="I371" i="7"/>
  <c r="I372" i="7"/>
  <c r="I373" i="7"/>
  <c r="I374" i="7"/>
  <c r="I376" i="7"/>
  <c r="I378" i="7"/>
  <c r="I379" i="7"/>
  <c r="I380" i="7"/>
  <c r="I381" i="7"/>
  <c r="I382" i="7"/>
  <c r="I384" i="7"/>
  <c r="I385" i="7"/>
  <c r="I386" i="7"/>
  <c r="I387" i="7"/>
  <c r="I388" i="7"/>
  <c r="I389" i="7"/>
  <c r="I390" i="7"/>
  <c r="M390" i="7" s="1"/>
  <c r="I391" i="7"/>
  <c r="I392" i="7"/>
  <c r="I393" i="7"/>
  <c r="I394" i="7"/>
  <c r="I395" i="7"/>
  <c r="I396" i="7"/>
  <c r="I398" i="7"/>
  <c r="I399" i="7"/>
  <c r="I400" i="7"/>
  <c r="I401" i="7"/>
  <c r="I402" i="7"/>
  <c r="I403" i="7"/>
  <c r="I405" i="7"/>
  <c r="I407" i="7"/>
  <c r="I408" i="7"/>
  <c r="I409" i="7"/>
  <c r="I410" i="7"/>
  <c r="I411" i="7"/>
  <c r="I413" i="7"/>
  <c r="I414" i="7"/>
  <c r="I415" i="7"/>
  <c r="I416" i="7"/>
  <c r="I417" i="7"/>
  <c r="I418" i="7"/>
  <c r="I419" i="7"/>
  <c r="I420" i="7"/>
  <c r="I421" i="7"/>
  <c r="I422" i="7"/>
  <c r="I423" i="7"/>
  <c r="I424" i="7"/>
  <c r="I425" i="7"/>
  <c r="I426" i="7"/>
  <c r="I427" i="7"/>
  <c r="I428" i="7"/>
  <c r="I429" i="7"/>
  <c r="I430" i="7"/>
  <c r="I431" i="7"/>
  <c r="I432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I456" i="7"/>
  <c r="I457" i="7"/>
  <c r="I458" i="7"/>
  <c r="I459" i="7"/>
  <c r="I460" i="7"/>
  <c r="I461" i="7"/>
  <c r="I462" i="7"/>
  <c r="I463" i="7"/>
  <c r="I464" i="7"/>
  <c r="I465" i="7"/>
  <c r="I466" i="7"/>
  <c r="I467" i="7"/>
  <c r="I468" i="7"/>
  <c r="I469" i="7"/>
  <c r="I471" i="7"/>
  <c r="I473" i="7"/>
  <c r="I474" i="7"/>
  <c r="I475" i="7"/>
  <c r="I476" i="7"/>
  <c r="I477" i="7"/>
  <c r="I478" i="7"/>
  <c r="I480" i="7"/>
  <c r="I481" i="7"/>
  <c r="I482" i="7"/>
  <c r="I483" i="7"/>
  <c r="I484" i="7"/>
  <c r="I485" i="7"/>
  <c r="I486" i="7"/>
  <c r="I487" i="7"/>
  <c r="I488" i="7"/>
  <c r="I489" i="7"/>
  <c r="M489" i="7" s="1"/>
  <c r="I490" i="7"/>
  <c r="I491" i="7"/>
  <c r="I492" i="7"/>
  <c r="I493" i="7"/>
  <c r="I495" i="7"/>
  <c r="I496" i="7"/>
  <c r="I497" i="7"/>
  <c r="I498" i="7"/>
  <c r="I499" i="7"/>
  <c r="I500" i="7"/>
  <c r="I501" i="7"/>
  <c r="I502" i="7"/>
  <c r="M502" i="7" s="1"/>
  <c r="I503" i="7"/>
  <c r="I504" i="7"/>
  <c r="I505" i="7"/>
  <c r="I506" i="7"/>
  <c r="M506" i="7" s="1"/>
  <c r="I507" i="7"/>
  <c r="I508" i="7"/>
  <c r="I509" i="7"/>
  <c r="I510" i="7"/>
  <c r="I511" i="7"/>
  <c r="I512" i="7"/>
  <c r="I513" i="7"/>
  <c r="I514" i="7"/>
  <c r="I515" i="7"/>
  <c r="I516" i="7"/>
  <c r="I517" i="7"/>
  <c r="I519" i="7"/>
  <c r="I521" i="7"/>
  <c r="I522" i="7"/>
  <c r="I523" i="7"/>
  <c r="I524" i="7"/>
  <c r="I525" i="7"/>
  <c r="I526" i="7"/>
  <c r="I527" i="7"/>
  <c r="I528" i="7"/>
  <c r="I529" i="7"/>
  <c r="I530" i="7"/>
  <c r="I531" i="7"/>
  <c r="I532" i="7"/>
  <c r="M532" i="7" s="1"/>
  <c r="I534" i="7"/>
  <c r="I535" i="7"/>
  <c r="I536" i="7"/>
  <c r="I537" i="7"/>
  <c r="I538" i="7"/>
  <c r="M538" i="7" s="1"/>
  <c r="I539" i="7"/>
  <c r="I540" i="7"/>
  <c r="I541" i="7"/>
  <c r="M541" i="7" s="1"/>
  <c r="I542" i="7"/>
  <c r="I543" i="7"/>
  <c r="I544" i="7"/>
  <c r="I545" i="7"/>
  <c r="I546" i="7"/>
  <c r="I547" i="7"/>
  <c r="I548" i="7"/>
  <c r="I549" i="7"/>
  <c r="I550" i="7"/>
  <c r="I551" i="7"/>
  <c r="I552" i="7"/>
  <c r="I553" i="7"/>
  <c r="I554" i="7"/>
  <c r="I555" i="7"/>
  <c r="I556" i="7"/>
  <c r="I557" i="7"/>
  <c r="I558" i="7"/>
  <c r="I560" i="7"/>
  <c r="I561" i="7"/>
  <c r="I562" i="7"/>
  <c r="I563" i="7"/>
  <c r="M563" i="7" s="1"/>
  <c r="I564" i="7"/>
  <c r="I565" i="7"/>
  <c r="I566" i="7"/>
  <c r="I567" i="7"/>
  <c r="I568" i="7"/>
  <c r="I570" i="7"/>
  <c r="I572" i="7"/>
  <c r="I573" i="7"/>
  <c r="I574" i="7"/>
  <c r="I575" i="7"/>
  <c r="I577" i="7"/>
  <c r="I578" i="7"/>
  <c r="I579" i="7"/>
  <c r="I580" i="7"/>
  <c r="I581" i="7"/>
  <c r="I582" i="7"/>
  <c r="I583" i="7"/>
  <c r="I584" i="7"/>
  <c r="I585" i="7"/>
  <c r="I586" i="7"/>
  <c r="I587" i="7"/>
  <c r="I588" i="7"/>
  <c r="I589" i="7"/>
  <c r="I590" i="7"/>
  <c r="I591" i="7"/>
  <c r="I592" i="7"/>
  <c r="I593" i="7"/>
  <c r="I594" i="7"/>
  <c r="I595" i="7"/>
  <c r="I596" i="7"/>
  <c r="I597" i="7"/>
  <c r="I599" i="7"/>
  <c r="I600" i="7"/>
  <c r="I601" i="7"/>
  <c r="I602" i="7"/>
  <c r="I603" i="7"/>
  <c r="I604" i="7"/>
  <c r="I605" i="7"/>
  <c r="I606" i="7"/>
  <c r="I607" i="7"/>
  <c r="I608" i="7"/>
  <c r="I609" i="7"/>
  <c r="I610" i="7"/>
  <c r="I611" i="7"/>
  <c r="I613" i="7"/>
  <c r="I615" i="7"/>
  <c r="I616" i="7"/>
  <c r="I617" i="7"/>
  <c r="I618" i="7"/>
  <c r="I619" i="7"/>
  <c r="I620" i="7"/>
  <c r="I621" i="7"/>
  <c r="I622" i="7"/>
  <c r="I623" i="7"/>
  <c r="I624" i="7"/>
  <c r="I625" i="7"/>
  <c r="I626" i="7"/>
  <c r="I627" i="7"/>
  <c r="I628" i="7"/>
  <c r="I630" i="7"/>
  <c r="I631" i="7"/>
  <c r="I632" i="7"/>
  <c r="I633" i="7"/>
  <c r="I634" i="7"/>
  <c r="I635" i="7"/>
  <c r="I636" i="7"/>
  <c r="I637" i="7"/>
  <c r="I638" i="7"/>
  <c r="I639" i="7"/>
  <c r="I640" i="7"/>
  <c r="I641" i="7"/>
  <c r="I642" i="7"/>
  <c r="I643" i="7"/>
  <c r="I644" i="7"/>
  <c r="I645" i="7"/>
  <c r="M645" i="7" s="1"/>
  <c r="I646" i="7"/>
  <c r="I648" i="7"/>
  <c r="I649" i="7"/>
  <c r="I650" i="7"/>
  <c r="I651" i="7"/>
  <c r="M651" i="7" s="1"/>
  <c r="I652" i="7"/>
  <c r="I653" i="7"/>
  <c r="I654" i="7"/>
  <c r="I657" i="7"/>
  <c r="I659" i="7"/>
  <c r="I660" i="7"/>
  <c r="I661" i="7"/>
  <c r="I662" i="7"/>
  <c r="I663" i="7"/>
  <c r="I664" i="7"/>
  <c r="I665" i="7"/>
  <c r="I666" i="7"/>
  <c r="I667" i="7"/>
  <c r="I669" i="7"/>
  <c r="I670" i="7"/>
  <c r="I671" i="7"/>
  <c r="I672" i="7"/>
  <c r="I673" i="7"/>
  <c r="I674" i="7"/>
  <c r="I675" i="7"/>
  <c r="I676" i="7"/>
  <c r="I677" i="7"/>
  <c r="I678" i="7"/>
  <c r="I679" i="7"/>
  <c r="I680" i="7"/>
  <c r="I681" i="7"/>
  <c r="I682" i="7"/>
  <c r="M682" i="7" s="1"/>
  <c r="I683" i="7"/>
  <c r="I684" i="7"/>
  <c r="I685" i="7"/>
  <c r="I686" i="7"/>
  <c r="I687" i="7"/>
  <c r="I688" i="7"/>
  <c r="I690" i="7"/>
  <c r="I691" i="7"/>
  <c r="I692" i="7"/>
  <c r="I693" i="7"/>
  <c r="I694" i="7"/>
  <c r="I695" i="7"/>
  <c r="I696" i="7"/>
  <c r="I697" i="7"/>
  <c r="I698" i="7"/>
  <c r="I699" i="7"/>
  <c r="I700" i="7"/>
  <c r="I701" i="7"/>
  <c r="I702" i="7"/>
  <c r="I703" i="7"/>
  <c r="I704" i="7"/>
  <c r="I705" i="7"/>
  <c r="I706" i="7"/>
  <c r="I707" i="7"/>
  <c r="I708" i="7"/>
  <c r="I709" i="7"/>
  <c r="I710" i="7"/>
  <c r="I711" i="7"/>
  <c r="M711" i="7" s="1"/>
  <c r="I712" i="7"/>
  <c r="I713" i="7"/>
  <c r="I714" i="7"/>
  <c r="I715" i="7"/>
  <c r="I716" i="7"/>
  <c r="I717" i="7"/>
  <c r="I718" i="7"/>
  <c r="I719" i="7"/>
  <c r="I720" i="7"/>
  <c r="M720" i="7" s="1"/>
  <c r="I721" i="7"/>
  <c r="I722" i="7"/>
  <c r="I723" i="7"/>
  <c r="I724" i="7"/>
  <c r="I774" i="7"/>
  <c r="I776" i="7"/>
  <c r="I777" i="7"/>
  <c r="I778" i="7"/>
  <c r="I779" i="7"/>
  <c r="I780" i="7"/>
  <c r="I781" i="7"/>
  <c r="I782" i="7"/>
  <c r="I784" i="7"/>
  <c r="I785" i="7"/>
  <c r="I786" i="7"/>
  <c r="I787" i="7"/>
  <c r="I788" i="7"/>
  <c r="I789" i="7"/>
  <c r="I790" i="7"/>
  <c r="I791" i="7"/>
  <c r="I792" i="7"/>
  <c r="I793" i="7"/>
  <c r="I794" i="7"/>
  <c r="I795" i="7"/>
  <c r="I796" i="7"/>
  <c r="I797" i="7"/>
  <c r="I798" i="7"/>
  <c r="I799" i="7"/>
  <c r="I800" i="7"/>
  <c r="I801" i="7"/>
  <c r="I802" i="7"/>
  <c r="I803" i="7"/>
  <c r="I804" i="7"/>
  <c r="I805" i="7"/>
  <c r="I806" i="7"/>
  <c r="I807" i="7"/>
  <c r="I808" i="7"/>
  <c r="I809" i="7"/>
  <c r="I811" i="7"/>
  <c r="I812" i="7"/>
  <c r="I813" i="7"/>
  <c r="I814" i="7"/>
  <c r="I815" i="7"/>
  <c r="I816" i="7"/>
  <c r="I817" i="7"/>
  <c r="I818" i="7"/>
  <c r="I819" i="7"/>
  <c r="I820" i="7"/>
  <c r="I821" i="7"/>
  <c r="I822" i="7"/>
  <c r="I823" i="7"/>
  <c r="I824" i="7"/>
  <c r="I825" i="7"/>
  <c r="I826" i="7"/>
  <c r="I827" i="7"/>
  <c r="I828" i="7"/>
  <c r="I829" i="7"/>
  <c r="I830" i="7"/>
  <c r="I831" i="7"/>
  <c r="I832" i="7"/>
  <c r="I833" i="7"/>
  <c r="I834" i="7"/>
  <c r="I835" i="7"/>
  <c r="I837" i="7"/>
  <c r="I839" i="7"/>
  <c r="I840" i="7"/>
  <c r="I841" i="7"/>
  <c r="I842" i="7"/>
  <c r="I843" i="7"/>
  <c r="I844" i="7"/>
  <c r="I846" i="7"/>
  <c r="I847" i="7"/>
  <c r="I850" i="7"/>
  <c r="I851" i="7"/>
  <c r="I852" i="7"/>
  <c r="I855" i="7"/>
  <c r="I856" i="7"/>
  <c r="I859" i="7"/>
  <c r="I860" i="7"/>
  <c r="I861" i="7"/>
  <c r="I865" i="7"/>
  <c r="I867" i="7"/>
  <c r="I870" i="7"/>
  <c r="I872" i="7"/>
  <c r="I873" i="7"/>
  <c r="I874" i="7"/>
  <c r="I875" i="7"/>
  <c r="I876" i="7"/>
  <c r="I877" i="7"/>
  <c r="I878" i="7"/>
  <c r="I879" i="7"/>
  <c r="I880" i="7"/>
  <c r="I881" i="7"/>
  <c r="I882" i="7"/>
  <c r="I883" i="7"/>
  <c r="I884" i="7"/>
  <c r="I885" i="7"/>
  <c r="I886" i="7"/>
  <c r="I887" i="7"/>
  <c r="I888" i="7"/>
  <c r="I889" i="7"/>
  <c r="I890" i="7"/>
  <c r="I891" i="7"/>
  <c r="I892" i="7"/>
  <c r="I893" i="7"/>
  <c r="I894" i="7"/>
  <c r="I895" i="7"/>
  <c r="I896" i="7"/>
  <c r="I897" i="7"/>
  <c r="I898" i="7"/>
  <c r="I899" i="7"/>
  <c r="I900" i="7"/>
  <c r="I901" i="7"/>
  <c r="I902" i="7"/>
  <c r="I903" i="7"/>
  <c r="I904" i="7"/>
  <c r="I905" i="7"/>
  <c r="I906" i="7"/>
  <c r="I907" i="7"/>
  <c r="I908" i="7"/>
  <c r="I909" i="7"/>
  <c r="I910" i="7"/>
  <c r="I912" i="7"/>
  <c r="I914" i="7"/>
  <c r="I915" i="7"/>
  <c r="I916" i="7"/>
  <c r="I917" i="7"/>
  <c r="I919" i="7"/>
  <c r="I920" i="7"/>
  <c r="I921" i="7"/>
  <c r="I922" i="7"/>
  <c r="I923" i="7"/>
  <c r="I924" i="7"/>
  <c r="I925" i="7"/>
  <c r="I926" i="7"/>
  <c r="I927" i="7"/>
  <c r="I928" i="7"/>
  <c r="I929" i="7"/>
  <c r="I930" i="7"/>
  <c r="I931" i="7"/>
  <c r="I932" i="7"/>
  <c r="I933" i="7"/>
  <c r="I934" i="7"/>
  <c r="I936" i="7"/>
  <c r="M936" i="7" s="1"/>
  <c r="I937" i="7"/>
  <c r="I938" i="7"/>
  <c r="I939" i="7"/>
  <c r="I940" i="7"/>
  <c r="I941" i="7"/>
  <c r="I942" i="7"/>
  <c r="I943" i="7"/>
  <c r="I944" i="7"/>
  <c r="I945" i="7"/>
  <c r="I946" i="7"/>
  <c r="I947" i="7"/>
  <c r="I948" i="7"/>
  <c r="I949" i="7"/>
  <c r="I950" i="7"/>
  <c r="I951" i="7"/>
  <c r="I952" i="7"/>
  <c r="I953" i="7"/>
  <c r="I954" i="7"/>
  <c r="I955" i="7"/>
  <c r="I956" i="7"/>
  <c r="I957" i="7"/>
  <c r="I958" i="7"/>
  <c r="I959" i="7"/>
  <c r="I960" i="7"/>
  <c r="I962" i="7"/>
  <c r="I964" i="7"/>
  <c r="I965" i="7"/>
  <c r="I966" i="7"/>
  <c r="I967" i="7"/>
  <c r="I968" i="7"/>
  <c r="I969" i="7"/>
  <c r="I970" i="7"/>
  <c r="I972" i="7"/>
  <c r="I973" i="7"/>
  <c r="I974" i="7"/>
  <c r="I975" i="7"/>
  <c r="I976" i="7"/>
  <c r="I977" i="7"/>
  <c r="I978" i="7"/>
  <c r="I979" i="7"/>
  <c r="I980" i="7"/>
  <c r="I981" i="7"/>
  <c r="I982" i="7"/>
  <c r="I983" i="7"/>
  <c r="I984" i="7"/>
  <c r="I985" i="7"/>
  <c r="I986" i="7"/>
  <c r="I987" i="7"/>
  <c r="I988" i="7"/>
  <c r="I989" i="7"/>
  <c r="I991" i="7"/>
  <c r="I992" i="7"/>
  <c r="I993" i="7"/>
  <c r="I994" i="7"/>
  <c r="I995" i="7"/>
  <c r="I996" i="7"/>
  <c r="I997" i="7"/>
  <c r="I998" i="7"/>
  <c r="I999" i="7"/>
  <c r="I1000" i="7"/>
  <c r="I1001" i="7"/>
  <c r="I1002" i="7"/>
  <c r="I1003" i="7"/>
  <c r="I1004" i="7"/>
  <c r="I1005" i="7"/>
  <c r="I1006" i="7"/>
  <c r="I1007" i="7"/>
  <c r="I1008" i="7"/>
  <c r="I1009" i="7"/>
  <c r="I1010" i="7"/>
  <c r="I1011" i="7"/>
  <c r="I1012" i="7"/>
  <c r="I1013" i="7"/>
  <c r="I1014" i="7"/>
  <c r="I1015" i="7"/>
  <c r="I1016" i="7"/>
  <c r="I1017" i="7"/>
  <c r="I1018" i="7"/>
  <c r="I1020" i="7"/>
  <c r="I1022" i="7"/>
  <c r="I1023" i="7"/>
  <c r="I1024" i="7"/>
  <c r="I1025" i="7"/>
  <c r="I1027" i="7"/>
  <c r="I1028" i="7"/>
  <c r="I1029" i="7"/>
  <c r="I1030" i="7"/>
  <c r="I1031" i="7"/>
  <c r="I1032" i="7"/>
  <c r="I1033" i="7"/>
  <c r="I1034" i="7"/>
  <c r="I1035" i="7"/>
  <c r="I1036" i="7"/>
  <c r="I1037" i="7"/>
  <c r="I1038" i="7"/>
  <c r="I1039" i="7"/>
  <c r="I1040" i="7"/>
  <c r="I1041" i="7"/>
  <c r="I1042" i="7"/>
  <c r="I1043" i="7"/>
  <c r="I1045" i="7"/>
  <c r="I1046" i="7"/>
  <c r="I1047" i="7"/>
  <c r="I1048" i="7"/>
  <c r="I1049" i="7"/>
  <c r="I1050" i="7"/>
  <c r="I1051" i="7"/>
  <c r="I1052" i="7"/>
  <c r="I1053" i="7"/>
  <c r="I1054" i="7"/>
  <c r="I1055" i="7"/>
  <c r="I1056" i="7"/>
  <c r="I1057" i="7"/>
  <c r="I1058" i="7"/>
  <c r="I1059" i="7"/>
  <c r="I1060" i="7"/>
  <c r="I1061" i="7"/>
  <c r="I1062" i="7"/>
  <c r="I1063" i="7"/>
  <c r="I1064" i="7"/>
  <c r="I1065" i="7"/>
  <c r="I1066" i="7"/>
  <c r="I1067" i="7"/>
  <c r="I1068" i="7"/>
  <c r="I1069" i="7"/>
  <c r="I1070" i="7"/>
  <c r="I1071" i="7"/>
  <c r="I1072" i="7"/>
  <c r="I1073" i="7"/>
  <c r="I1074" i="7"/>
  <c r="I1075" i="7"/>
  <c r="I1076" i="7"/>
  <c r="I1077" i="7"/>
  <c r="I1078" i="7"/>
  <c r="I1079" i="7"/>
  <c r="I1080" i="7"/>
  <c r="I1081" i="7"/>
  <c r="I1082" i="7"/>
  <c r="I1083" i="7"/>
  <c r="I1084" i="7"/>
  <c r="I1086" i="7"/>
  <c r="I1088" i="7"/>
  <c r="I1089" i="7"/>
  <c r="I1090" i="7"/>
  <c r="I1091" i="7"/>
  <c r="I1092" i="7"/>
  <c r="I1093" i="7"/>
  <c r="I1094" i="7"/>
  <c r="M1094" i="7" s="1"/>
  <c r="I1096" i="7"/>
  <c r="I1097" i="7"/>
  <c r="I1098" i="7"/>
  <c r="I1099" i="7"/>
  <c r="I1100" i="7"/>
  <c r="I1101" i="7"/>
  <c r="I1102" i="7"/>
  <c r="I1103" i="7"/>
  <c r="M1103" i="7" s="1"/>
  <c r="I1104" i="7"/>
  <c r="I1105" i="7"/>
  <c r="I1106" i="7"/>
  <c r="I1107" i="7"/>
  <c r="M1107" i="7" s="1"/>
  <c r="I1108" i="7"/>
  <c r="I1109" i="7"/>
  <c r="I1110" i="7"/>
  <c r="I1111" i="7"/>
  <c r="I1112" i="7"/>
  <c r="I1113" i="7"/>
  <c r="I1114" i="7"/>
  <c r="I1115" i="7"/>
  <c r="I1116" i="7"/>
  <c r="I1117" i="7"/>
  <c r="I1118" i="7"/>
  <c r="I1119" i="7"/>
  <c r="I1120" i="7"/>
  <c r="I1121" i="7"/>
  <c r="I1122" i="7"/>
  <c r="I1124" i="7"/>
  <c r="M1124" i="7" s="1"/>
  <c r="I1125" i="7"/>
  <c r="I1126" i="7"/>
  <c r="I1127" i="7"/>
  <c r="I1128" i="7"/>
  <c r="M1128" i="7" s="1"/>
  <c r="I1129" i="7"/>
  <c r="I1130" i="7"/>
  <c r="I1131" i="7"/>
  <c r="I1132" i="7"/>
  <c r="M1132" i="7" s="1"/>
  <c r="I1133" i="7"/>
  <c r="I1134" i="7"/>
  <c r="I1135" i="7"/>
  <c r="I1137" i="7"/>
  <c r="I1139" i="7"/>
  <c r="I1140" i="7"/>
  <c r="I1141" i="7"/>
  <c r="I1142" i="7"/>
  <c r="I1144" i="7"/>
  <c r="I1145" i="7"/>
  <c r="I1146" i="7"/>
  <c r="I1147" i="7"/>
  <c r="I1148" i="7"/>
  <c r="I1149" i="7"/>
  <c r="I1150" i="7"/>
  <c r="I1151" i="7"/>
  <c r="I1152" i="7"/>
  <c r="I1153" i="7"/>
  <c r="I1154" i="7"/>
  <c r="I1155" i="7"/>
  <c r="I1156" i="7"/>
  <c r="I1157" i="7"/>
  <c r="I1158" i="7"/>
  <c r="I1159" i="7"/>
  <c r="I1160" i="7"/>
  <c r="I1161" i="7"/>
  <c r="I1163" i="7"/>
  <c r="I1164" i="7"/>
  <c r="I1165" i="7"/>
  <c r="I1166" i="7"/>
  <c r="I1167" i="7"/>
  <c r="I1168" i="7"/>
  <c r="M1168" i="7" s="1"/>
  <c r="I1169" i="7"/>
  <c r="I1170" i="7"/>
  <c r="I1171" i="7"/>
  <c r="I1172" i="7"/>
  <c r="I1173" i="7"/>
  <c r="I1174" i="7"/>
  <c r="I1175" i="7"/>
  <c r="I1176" i="7"/>
  <c r="M1176" i="7" s="1"/>
  <c r="I1177" i="7"/>
  <c r="I1178" i="7"/>
  <c r="I1179" i="7"/>
  <c r="I1180" i="7"/>
  <c r="I1181" i="7"/>
  <c r="I1182" i="7"/>
  <c r="I1183" i="7"/>
  <c r="I1184" i="7"/>
  <c r="M1184" i="7" s="1"/>
  <c r="I1185" i="7"/>
  <c r="I1186" i="7"/>
  <c r="I1187" i="7"/>
  <c r="I1188" i="7"/>
  <c r="I1190" i="7"/>
  <c r="I1192" i="7"/>
  <c r="I1193" i="7"/>
  <c r="I1194" i="7"/>
  <c r="I1195" i="7"/>
  <c r="I1196" i="7"/>
  <c r="I1197" i="7"/>
  <c r="I1199" i="7"/>
  <c r="I1200" i="7"/>
  <c r="I1201" i="7"/>
  <c r="I1202" i="7"/>
  <c r="I1203" i="7"/>
  <c r="M1203" i="7" s="1"/>
  <c r="I1204" i="7"/>
  <c r="I1205" i="7"/>
  <c r="I1206" i="7"/>
  <c r="I1207" i="7"/>
  <c r="I1208" i="7"/>
  <c r="I1209" i="7"/>
  <c r="I1210" i="7"/>
  <c r="I1211" i="7"/>
  <c r="I1212" i="7"/>
  <c r="I1213" i="7"/>
  <c r="I1214" i="7"/>
  <c r="I1215" i="7"/>
  <c r="I1216" i="7"/>
  <c r="I1217" i="7"/>
  <c r="I1218" i="7"/>
  <c r="I1220" i="7"/>
  <c r="M1220" i="7" s="1"/>
  <c r="I1221" i="7"/>
  <c r="I1222" i="7"/>
  <c r="I1223" i="7"/>
  <c r="I1224" i="7"/>
  <c r="M1224" i="7" s="1"/>
  <c r="I1225" i="7"/>
  <c r="I1226" i="7"/>
  <c r="I1227" i="7"/>
  <c r="I1228" i="7"/>
  <c r="M1228" i="7" s="1"/>
  <c r="I1229" i="7"/>
  <c r="I1230" i="7"/>
  <c r="I1231" i="7"/>
  <c r="I1232" i="7"/>
  <c r="I1233" i="7"/>
  <c r="I1234" i="7"/>
  <c r="I1235" i="7"/>
  <c r="I1236" i="7"/>
  <c r="I1237" i="7"/>
  <c r="I1238" i="7"/>
  <c r="I1239" i="7"/>
  <c r="I1240" i="7"/>
  <c r="M1240" i="7" s="1"/>
  <c r="I1241" i="7"/>
  <c r="I1242" i="7"/>
  <c r="I1243" i="7"/>
  <c r="I1244" i="7"/>
  <c r="M1244" i="7" s="1"/>
  <c r="I1245" i="7"/>
  <c r="I1246" i="7"/>
  <c r="I1247" i="7"/>
  <c r="I1248" i="7"/>
  <c r="I1249" i="7"/>
  <c r="I1250" i="7"/>
  <c r="I1251" i="7"/>
  <c r="I1252" i="7"/>
  <c r="M1252" i="7" s="1"/>
  <c r="I1253" i="7"/>
  <c r="I1254" i="7"/>
  <c r="I1255" i="7"/>
  <c r="I1256" i="7"/>
  <c r="I1257" i="7"/>
  <c r="I1258" i="7"/>
  <c r="I1260" i="7"/>
  <c r="I1262" i="7"/>
  <c r="I1263" i="7"/>
  <c r="I1264" i="7"/>
  <c r="I1265" i="7"/>
  <c r="I1266" i="7"/>
  <c r="I1267" i="7"/>
  <c r="I1269" i="7"/>
  <c r="I1270" i="7"/>
  <c r="I1271" i="7"/>
  <c r="I1272" i="7"/>
  <c r="I1273" i="7"/>
  <c r="I1274" i="7"/>
  <c r="I1275" i="7"/>
  <c r="I1276" i="7"/>
  <c r="I1277" i="7"/>
  <c r="I1278" i="7"/>
  <c r="I1279" i="7"/>
  <c r="I1280" i="7"/>
  <c r="I1281" i="7"/>
  <c r="I1282" i="7"/>
  <c r="I1283" i="7"/>
  <c r="I1284" i="7"/>
  <c r="I1285" i="7"/>
  <c r="I1286" i="7"/>
  <c r="I1287" i="7"/>
  <c r="M1287" i="7" s="1"/>
  <c r="I1288" i="7"/>
  <c r="I1290" i="7"/>
  <c r="I1291" i="7"/>
  <c r="I1292" i="7"/>
  <c r="I1293" i="7"/>
  <c r="I1294" i="7"/>
  <c r="I1295" i="7"/>
  <c r="I1296" i="7"/>
  <c r="I1297" i="7"/>
  <c r="I1298" i="7"/>
  <c r="I1299" i="7"/>
  <c r="I1300" i="7"/>
  <c r="I1301" i="7"/>
  <c r="I1302" i="7"/>
  <c r="I1303" i="7"/>
  <c r="I1304" i="7"/>
  <c r="I1305" i="7"/>
  <c r="M1305" i="7" s="1"/>
  <c r="I1306" i="7"/>
  <c r="I1307" i="7"/>
  <c r="I1308" i="7"/>
  <c r="M1308" i="7" s="1"/>
  <c r="I1309" i="7"/>
  <c r="I1310" i="7"/>
  <c r="I1311" i="7"/>
  <c r="I1312" i="7"/>
  <c r="M1312" i="7" s="1"/>
  <c r="I1313" i="7"/>
  <c r="I1314" i="7"/>
  <c r="I1315" i="7"/>
  <c r="I1317" i="7"/>
  <c r="I1319" i="7"/>
  <c r="I1320" i="7"/>
  <c r="I1322" i="7"/>
  <c r="I1323" i="7"/>
  <c r="I1324" i="7"/>
  <c r="I1325" i="7"/>
  <c r="I1326" i="7"/>
  <c r="I1327" i="7"/>
  <c r="I1328" i="7"/>
  <c r="I1329" i="7"/>
  <c r="I1330" i="7"/>
  <c r="I1331" i="7"/>
  <c r="I1332" i="7"/>
  <c r="I1334" i="7"/>
  <c r="I1335" i="7"/>
  <c r="I1336" i="7"/>
  <c r="M1336" i="7" s="1"/>
  <c r="I1337" i="7"/>
  <c r="I1338" i="7"/>
  <c r="I1339" i="7"/>
  <c r="I1340" i="7"/>
  <c r="I1341" i="7"/>
  <c r="I1342" i="7"/>
  <c r="I1343" i="7"/>
  <c r="I1344" i="7"/>
  <c r="I1345" i="7"/>
  <c r="I1346" i="7"/>
  <c r="I1347" i="7"/>
  <c r="I1348" i="7"/>
  <c r="I1349" i="7"/>
  <c r="I1350" i="7"/>
  <c r="I1351" i="7"/>
  <c r="I1352" i="7"/>
  <c r="I1353" i="7"/>
  <c r="I1354" i="7"/>
  <c r="I1355" i="7"/>
  <c r="I1356" i="7"/>
  <c r="I1357" i="7"/>
  <c r="I1358" i="7"/>
  <c r="I1359" i="7"/>
  <c r="I1361" i="7"/>
  <c r="I1363" i="7"/>
  <c r="I1364" i="7"/>
  <c r="I1365" i="7"/>
  <c r="I1366" i="7"/>
  <c r="M1366" i="7" s="1"/>
  <c r="I1368" i="7"/>
  <c r="I1369" i="7"/>
  <c r="I1370" i="7"/>
  <c r="I1371" i="7"/>
  <c r="I1372" i="7"/>
  <c r="I1373" i="7"/>
  <c r="I1374" i="7"/>
  <c r="I1375" i="7"/>
  <c r="I1376" i="7"/>
  <c r="I1377" i="7"/>
  <c r="I1378" i="7"/>
  <c r="I1379" i="7"/>
  <c r="I1380" i="7"/>
  <c r="I1381" i="7"/>
  <c r="I1382" i="7"/>
  <c r="I1383" i="7"/>
  <c r="I1384" i="7"/>
  <c r="I1385" i="7"/>
  <c r="I1386" i="7"/>
  <c r="I1387" i="7"/>
  <c r="I1388" i="7"/>
  <c r="I1389" i="7"/>
  <c r="I1391" i="7"/>
  <c r="I1392" i="7"/>
  <c r="M1392" i="7" s="1"/>
  <c r="I1393" i="7"/>
  <c r="I1394" i="7"/>
  <c r="I1395" i="7"/>
  <c r="I1396" i="7"/>
  <c r="I1397" i="7"/>
  <c r="I1398" i="7"/>
  <c r="I1399" i="7"/>
  <c r="I1400" i="7"/>
  <c r="I1401" i="7"/>
  <c r="I1402" i="7"/>
  <c r="I1403" i="7"/>
  <c r="I1404" i="7"/>
  <c r="I1405" i="7"/>
  <c r="I1406" i="7"/>
  <c r="I1407" i="7"/>
  <c r="I1408" i="7"/>
  <c r="M1408" i="7" s="1"/>
  <c r="I1409" i="7"/>
  <c r="I1410" i="7"/>
  <c r="I1411" i="7"/>
  <c r="I1412" i="7"/>
  <c r="I1413" i="7"/>
  <c r="I1414" i="7"/>
  <c r="I1415" i="7"/>
  <c r="I1416" i="7"/>
  <c r="I1417" i="7"/>
  <c r="I1418" i="7"/>
  <c r="I1419" i="7"/>
  <c r="I1420" i="7"/>
  <c r="I1421" i="7"/>
  <c r="I1422" i="7"/>
  <c r="I1423" i="7"/>
  <c r="I1424" i="7"/>
  <c r="I1425" i="7"/>
  <c r="I1426" i="7"/>
  <c r="I1427" i="7"/>
  <c r="I1428" i="7"/>
  <c r="K720" i="7"/>
  <c r="L720" i="7" s="1"/>
  <c r="K683" i="7"/>
  <c r="K723" i="7"/>
  <c r="L723" i="7" s="1"/>
  <c r="M723" i="7" s="1"/>
  <c r="K1330" i="7"/>
  <c r="K1320" i="7"/>
  <c r="K1318" i="7" s="1"/>
  <c r="K573" i="7"/>
  <c r="K1266" i="7"/>
  <c r="K1261" i="7" s="1"/>
  <c r="K537" i="7"/>
  <c r="K533" i="7" s="1"/>
  <c r="K523" i="7"/>
  <c r="G1390" i="7"/>
  <c r="G1367" i="7"/>
  <c r="G1362" i="7"/>
  <c r="G1333" i="7"/>
  <c r="G1321" i="7"/>
  <c r="G1318" i="7"/>
  <c r="G1289" i="7"/>
  <c r="G1268" i="7"/>
  <c r="G1261" i="7"/>
  <c r="G1219" i="7"/>
  <c r="G1198" i="7"/>
  <c r="G1191" i="7"/>
  <c r="G1162" i="7"/>
  <c r="G1143" i="7"/>
  <c r="G1138" i="7"/>
  <c r="G1123" i="7"/>
  <c r="G1095" i="7"/>
  <c r="G1087" i="7"/>
  <c r="G1044" i="7"/>
  <c r="G1026" i="7"/>
  <c r="G1021" i="7"/>
  <c r="G990" i="7"/>
  <c r="G971" i="7"/>
  <c r="G963" i="7"/>
  <c r="G935" i="7"/>
  <c r="G918" i="7"/>
  <c r="G913" i="7"/>
  <c r="G871" i="7"/>
  <c r="G845" i="7"/>
  <c r="G838" i="7"/>
  <c r="G810" i="7"/>
  <c r="G783" i="7"/>
  <c r="G775" i="7"/>
  <c r="G689" i="7"/>
  <c r="G668" i="7"/>
  <c r="G658" i="7"/>
  <c r="G647" i="7"/>
  <c r="G629" i="7"/>
  <c r="G614" i="7"/>
  <c r="G598" i="7"/>
  <c r="G576" i="7"/>
  <c r="G571" i="7"/>
  <c r="G559" i="7"/>
  <c r="G533" i="7"/>
  <c r="G520" i="7"/>
  <c r="G494" i="7"/>
  <c r="G479" i="7"/>
  <c r="G472" i="7"/>
  <c r="G433" i="7"/>
  <c r="G412" i="7"/>
  <c r="G406" i="7"/>
  <c r="G397" i="7"/>
  <c r="G383" i="7"/>
  <c r="G377" i="7"/>
  <c r="G329" i="7"/>
  <c r="G305" i="7"/>
  <c r="G299" i="7"/>
  <c r="G287" i="7"/>
  <c r="G269" i="7"/>
  <c r="G240" i="7"/>
  <c r="G181" i="7"/>
  <c r="G158" i="7"/>
  <c r="G144" i="7"/>
  <c r="G101" i="7"/>
  <c r="G84" i="7"/>
  <c r="G79" i="7"/>
  <c r="G42" i="7"/>
  <c r="G14" i="7"/>
  <c r="G7" i="7"/>
  <c r="J726" i="7"/>
  <c r="L726" i="7" s="1"/>
  <c r="M726" i="7" s="1"/>
  <c r="K196" i="7"/>
  <c r="J1382" i="7"/>
  <c r="J1372" i="7"/>
  <c r="J1371" i="7"/>
  <c r="L1371" i="7" s="1"/>
  <c r="J1370" i="7"/>
  <c r="J1218" i="7"/>
  <c r="J1211" i="7"/>
  <c r="J1206" i="7"/>
  <c r="J1204" i="7"/>
  <c r="L1204" i="7" s="1"/>
  <c r="J1203" i="7"/>
  <c r="J982" i="7"/>
  <c r="J928" i="7"/>
  <c r="L928" i="7" s="1"/>
  <c r="M928" i="7" s="1"/>
  <c r="J801" i="7"/>
  <c r="L801" i="7" s="1"/>
  <c r="M801" i="7" s="1"/>
  <c r="J864" i="7"/>
  <c r="J860" i="7"/>
  <c r="J863" i="7"/>
  <c r="L863" i="7" s="1"/>
  <c r="M863" i="7" s="1"/>
  <c r="J865" i="7"/>
  <c r="J858" i="7"/>
  <c r="J854" i="7"/>
  <c r="J847" i="7"/>
  <c r="J845" i="7" s="1"/>
  <c r="J910" i="7"/>
  <c r="J909" i="7"/>
  <c r="L909" i="7" s="1"/>
  <c r="J788" i="7"/>
  <c r="J1328" i="7"/>
  <c r="L1328" i="7" s="1"/>
  <c r="M1328" i="7" s="1"/>
  <c r="J1325" i="7"/>
  <c r="J1331" i="7"/>
  <c r="J1279" i="7"/>
  <c r="J1274" i="7"/>
  <c r="L1274" i="7" s="1"/>
  <c r="M1274" i="7" s="1"/>
  <c r="J1155" i="7"/>
  <c r="J1151" i="7"/>
  <c r="J742" i="7"/>
  <c r="J739" i="7"/>
  <c r="J744" i="7"/>
  <c r="J737" i="7"/>
  <c r="J734" i="7"/>
  <c r="J728" i="7"/>
  <c r="L728" i="7" s="1"/>
  <c r="M728" i="7" s="1"/>
  <c r="J771" i="7"/>
  <c r="L771" i="7" s="1"/>
  <c r="M771" i="7" s="1"/>
  <c r="J676" i="7"/>
  <c r="J680" i="7"/>
  <c r="J556" i="7"/>
  <c r="J533" i="7" s="1"/>
  <c r="J535" i="7"/>
  <c r="J550" i="7"/>
  <c r="J90" i="7"/>
  <c r="J103" i="7"/>
  <c r="J85" i="7"/>
  <c r="J104" i="7"/>
  <c r="J91" i="7"/>
  <c r="J490" i="7"/>
  <c r="L490" i="7" s="1"/>
  <c r="J485" i="7"/>
  <c r="L485" i="7" s="1"/>
  <c r="M485" i="7" s="1"/>
  <c r="J488" i="7"/>
  <c r="J428" i="7"/>
  <c r="J420" i="7"/>
  <c r="J176" i="7"/>
  <c r="J173" i="7"/>
  <c r="J171" i="7"/>
  <c r="J21" i="7"/>
  <c r="K322" i="7"/>
  <c r="K89" i="7"/>
  <c r="K80" i="7"/>
  <c r="K81" i="7"/>
  <c r="L81" i="7" s="1"/>
  <c r="M81" i="7" s="1"/>
  <c r="K82" i="7"/>
  <c r="K83" i="7"/>
  <c r="K86" i="7"/>
  <c r="K87" i="7"/>
  <c r="L87" i="7" s="1"/>
  <c r="K88" i="7"/>
  <c r="K91" i="7"/>
  <c r="K93" i="7"/>
  <c r="K94" i="7"/>
  <c r="L94" i="7" s="1"/>
  <c r="K95" i="7"/>
  <c r="L95" i="7" s="1"/>
  <c r="K96" i="7"/>
  <c r="K97" i="7"/>
  <c r="K98" i="7"/>
  <c r="K99" i="7"/>
  <c r="K384" i="7"/>
  <c r="K380" i="7"/>
  <c r="K385" i="7"/>
  <c r="K383" i="7" s="1"/>
  <c r="K378" i="7"/>
  <c r="K659" i="7"/>
  <c r="K964" i="7"/>
  <c r="K986" i="7"/>
  <c r="K971" i="7" s="1"/>
  <c r="K965" i="7"/>
  <c r="K966" i="7"/>
  <c r="K1428" i="7"/>
  <c r="L1424" i="7"/>
  <c r="L1425" i="7"/>
  <c r="M1425" i="7" s="1"/>
  <c r="L1426" i="7"/>
  <c r="L1427" i="7"/>
  <c r="K1390" i="7"/>
  <c r="K1360" i="7" s="1"/>
  <c r="L1356" i="7"/>
  <c r="L1357" i="7"/>
  <c r="L1358" i="7"/>
  <c r="M1358" i="7" s="1"/>
  <c r="L1359" i="7"/>
  <c r="J1333" i="7"/>
  <c r="K1333" i="7"/>
  <c r="L1314" i="7"/>
  <c r="L1315" i="7"/>
  <c r="K1289" i="7"/>
  <c r="L1253" i="7"/>
  <c r="L1254" i="7"/>
  <c r="M1254" i="7" s="1"/>
  <c r="L1255" i="7"/>
  <c r="L1256" i="7"/>
  <c r="L1257" i="7"/>
  <c r="L1258" i="7"/>
  <c r="M1258" i="7"/>
  <c r="K1219" i="7"/>
  <c r="L1187" i="7"/>
  <c r="L1188" i="7"/>
  <c r="M1188" i="7"/>
  <c r="K1162" i="7"/>
  <c r="L1018" i="7"/>
  <c r="K990" i="7"/>
  <c r="L960" i="7"/>
  <c r="M960" i="7" s="1"/>
  <c r="K935" i="7"/>
  <c r="L904" i="7"/>
  <c r="L905" i="7"/>
  <c r="L906" i="7"/>
  <c r="M906" i="7" s="1"/>
  <c r="L907" i="7"/>
  <c r="L908" i="7"/>
  <c r="L910" i="7"/>
  <c r="M910" i="7" s="1"/>
  <c r="K871" i="7"/>
  <c r="L834" i="7"/>
  <c r="L835" i="7"/>
  <c r="K810" i="7"/>
  <c r="L766" i="7"/>
  <c r="M766" i="7" s="1"/>
  <c r="L767" i="7"/>
  <c r="L768" i="7"/>
  <c r="M768" i="7" s="1"/>
  <c r="L769" i="7"/>
  <c r="M769" i="7" s="1"/>
  <c r="L770" i="7"/>
  <c r="L772" i="7"/>
  <c r="M772" i="7" s="1"/>
  <c r="L724" i="7"/>
  <c r="L566" i="7"/>
  <c r="L567" i="7"/>
  <c r="L568" i="7"/>
  <c r="M568" i="7" s="1"/>
  <c r="K559" i="7"/>
  <c r="L515" i="7"/>
  <c r="L516" i="7"/>
  <c r="L517" i="7"/>
  <c r="M517" i="7" s="1"/>
  <c r="K494" i="7"/>
  <c r="L468" i="7"/>
  <c r="L469" i="7"/>
  <c r="K433" i="7"/>
  <c r="L235" i="7"/>
  <c r="L236" i="7"/>
  <c r="L237" i="7"/>
  <c r="L141" i="7"/>
  <c r="M141" i="7" s="1"/>
  <c r="L76" i="7"/>
  <c r="K42" i="7"/>
  <c r="M1314" i="7"/>
  <c r="J86" i="7"/>
  <c r="J140" i="7"/>
  <c r="L140" i="7" s="1"/>
  <c r="J99" i="7"/>
  <c r="J139" i="7"/>
  <c r="L139" i="7" s="1"/>
  <c r="M139" i="7" s="1"/>
  <c r="J98" i="7"/>
  <c r="J97" i="7"/>
  <c r="J96" i="7"/>
  <c r="L96" i="7" s="1"/>
  <c r="J95" i="7"/>
  <c r="J94" i="7"/>
  <c r="J93" i="7"/>
  <c r="J92" i="7"/>
  <c r="J89" i="7"/>
  <c r="J87" i="7"/>
  <c r="J553" i="7"/>
  <c r="L553" i="7" s="1"/>
  <c r="J565" i="7"/>
  <c r="J527" i="7"/>
  <c r="J539" i="7"/>
  <c r="J536" i="7"/>
  <c r="J934" i="7"/>
  <c r="J932" i="7"/>
  <c r="J929" i="7"/>
  <c r="J931" i="7"/>
  <c r="L931" i="7" s="1"/>
  <c r="M931" i="7" s="1"/>
  <c r="J922" i="7"/>
  <c r="J959" i="7"/>
  <c r="L959" i="7" s="1"/>
  <c r="J432" i="7"/>
  <c r="J427" i="7"/>
  <c r="L427" i="7" s="1"/>
  <c r="J423" i="7"/>
  <c r="J467" i="7"/>
  <c r="J422" i="7"/>
  <c r="J418" i="7"/>
  <c r="L418" i="7" s="1"/>
  <c r="J417" i="7"/>
  <c r="J416" i="7"/>
  <c r="J414" i="7"/>
  <c r="J419" i="7"/>
  <c r="J1210" i="7"/>
  <c r="J1217" i="7"/>
  <c r="J1252" i="7"/>
  <c r="J1219" i="7"/>
  <c r="J1215" i="7"/>
  <c r="J1207" i="7"/>
  <c r="J1202" i="7"/>
  <c r="J1152" i="7"/>
  <c r="J1186" i="7"/>
  <c r="J1162" i="7" s="1"/>
  <c r="J1153" i="7"/>
  <c r="J1149" i="7"/>
  <c r="J1147" i="7"/>
  <c r="J1145" i="7"/>
  <c r="J1160" i="7"/>
  <c r="J977" i="7"/>
  <c r="J978" i="7"/>
  <c r="J973" i="7"/>
  <c r="J976" i="7"/>
  <c r="J983" i="7"/>
  <c r="J981" i="7"/>
  <c r="J987" i="7"/>
  <c r="J986" i="7"/>
  <c r="J1017" i="7"/>
  <c r="J990" i="7" s="1"/>
  <c r="J923" i="7"/>
  <c r="L923" i="7" s="1"/>
  <c r="M923" i="7" s="1"/>
  <c r="J732" i="7"/>
  <c r="J740" i="7"/>
  <c r="J271" i="7"/>
  <c r="J282" i="7"/>
  <c r="L282" i="7" s="1"/>
  <c r="J174" i="7"/>
  <c r="J162" i="7"/>
  <c r="J234" i="7"/>
  <c r="J181" i="7" s="1"/>
  <c r="J170" i="7"/>
  <c r="J167" i="7"/>
  <c r="J160" i="7"/>
  <c r="J161" i="7"/>
  <c r="J166" i="7"/>
  <c r="J169" i="7"/>
  <c r="J178" i="7"/>
  <c r="J180" i="7"/>
  <c r="J179" i="7"/>
  <c r="L179" i="7" s="1"/>
  <c r="J1027" i="7"/>
  <c r="J1036" i="7"/>
  <c r="J1040" i="7"/>
  <c r="J1083" i="7"/>
  <c r="J1034" i="7"/>
  <c r="J1084" i="7"/>
  <c r="J1033" i="7"/>
  <c r="J1030" i="7"/>
  <c r="J1026" i="7" s="1"/>
  <c r="J493" i="7"/>
  <c r="J514" i="7"/>
  <c r="J492" i="7"/>
  <c r="J491" i="7"/>
  <c r="J487" i="7"/>
  <c r="J480" i="7"/>
  <c r="J391" i="7"/>
  <c r="J388" i="7"/>
  <c r="J383" i="7" s="1"/>
  <c r="J395" i="7"/>
  <c r="J846" i="7"/>
  <c r="J902" i="7"/>
  <c r="J855" i="7"/>
  <c r="J852" i="7"/>
  <c r="J849" i="7"/>
  <c r="J853" i="7"/>
  <c r="J857" i="7"/>
  <c r="J903" i="7"/>
  <c r="L903" i="7" s="1"/>
  <c r="J856" i="7"/>
  <c r="J677" i="7"/>
  <c r="J684" i="7"/>
  <c r="J683" i="7"/>
  <c r="J682" i="7"/>
  <c r="J722" i="7"/>
  <c r="L722" i="7" s="1"/>
  <c r="M722" i="7" s="1"/>
  <c r="J678" i="7"/>
  <c r="L678" i="7" s="1"/>
  <c r="J655" i="7"/>
  <c r="L655" i="7" s="1"/>
  <c r="J646" i="7"/>
  <c r="J642" i="7"/>
  <c r="J634" i="7"/>
  <c r="J629" i="7" s="1"/>
  <c r="J631" i="7"/>
  <c r="J313" i="7"/>
  <c r="J327" i="7"/>
  <c r="J374" i="7"/>
  <c r="L374" i="7" s="1"/>
  <c r="J326" i="7"/>
  <c r="J324" i="7"/>
  <c r="J323" i="7"/>
  <c r="J339" i="7"/>
  <c r="L339" i="7" s="1"/>
  <c r="J321" i="7"/>
  <c r="J320" i="7"/>
  <c r="J317" i="7"/>
  <c r="J316" i="7"/>
  <c r="J346" i="7"/>
  <c r="L346" i="7" s="1"/>
  <c r="J315" i="7"/>
  <c r="J373" i="7"/>
  <c r="L373" i="7" s="1"/>
  <c r="M373" i="7" s="1"/>
  <c r="J314" i="7"/>
  <c r="J333" i="7"/>
  <c r="J312" i="7"/>
  <c r="J306" i="7"/>
  <c r="J359" i="7"/>
  <c r="L359" i="7" s="1"/>
  <c r="J787" i="7"/>
  <c r="J789" i="7"/>
  <c r="J831" i="7"/>
  <c r="J791" i="7"/>
  <c r="J832" i="7"/>
  <c r="L832" i="7" s="1"/>
  <c r="J792" i="7"/>
  <c r="J833" i="7"/>
  <c r="L833" i="7" s="1"/>
  <c r="M833" i="7" s="1"/>
  <c r="J794" i="7"/>
  <c r="J820" i="7"/>
  <c r="J807" i="7"/>
  <c r="J797" i="7"/>
  <c r="J1116" i="7"/>
  <c r="L1116" i="7" s="1"/>
  <c r="M1116" i="7" s="1"/>
  <c r="J1108" i="7"/>
  <c r="J1112" i="7"/>
  <c r="J1121" i="7"/>
  <c r="J1106" i="7"/>
  <c r="J1109" i="7"/>
  <c r="J1105" i="7"/>
  <c r="J1111" i="7"/>
  <c r="J1275" i="7"/>
  <c r="J1288" i="7"/>
  <c r="J1287" i="7"/>
  <c r="J1285" i="7"/>
  <c r="J1283" i="7"/>
  <c r="J1277" i="7"/>
  <c r="J1306" i="7"/>
  <c r="J1270" i="7"/>
  <c r="J1273" i="7"/>
  <c r="J1313" i="7"/>
  <c r="L1313" i="7" s="1"/>
  <c r="J1271" i="7"/>
  <c r="J1269" i="7"/>
  <c r="J1329" i="7"/>
  <c r="L1329" i="7" s="1"/>
  <c r="M1329" i="7" s="1"/>
  <c r="J1327" i="7"/>
  <c r="J1323" i="7"/>
  <c r="J1388" i="7"/>
  <c r="J1423" i="7"/>
  <c r="L1423" i="7" s="1"/>
  <c r="M1423" i="7" s="1"/>
  <c r="J1377" i="7"/>
  <c r="J1387" i="7"/>
  <c r="J1386" i="7"/>
  <c r="L1386" i="7" s="1"/>
  <c r="M1386" i="7" s="1"/>
  <c r="J1385" i="7"/>
  <c r="L1385" i="7" s="1"/>
  <c r="M1385" i="7" s="1"/>
  <c r="J1384" i="7"/>
  <c r="J1376" i="7"/>
  <c r="J1422" i="7"/>
  <c r="J1383" i="7"/>
  <c r="J1373" i="7"/>
  <c r="J1369" i="7"/>
  <c r="J584" i="7"/>
  <c r="J585" i="7"/>
  <c r="J590" i="7"/>
  <c r="J581" i="7"/>
  <c r="J611" i="7"/>
  <c r="J598" i="7" s="1"/>
  <c r="J586" i="7"/>
  <c r="J19" i="7"/>
  <c r="J33" i="7"/>
  <c r="J75" i="7"/>
  <c r="L75" i="7" s="1"/>
  <c r="M75" i="7" s="1"/>
  <c r="J28" i="7"/>
  <c r="J24" i="7"/>
  <c r="J29" i="7"/>
  <c r="J74" i="7"/>
  <c r="J22" i="7"/>
  <c r="J20" i="7"/>
  <c r="J18" i="7"/>
  <c r="J32" i="7"/>
  <c r="J73" i="7"/>
  <c r="L73" i="7" s="1"/>
  <c r="M73" i="7" s="1"/>
  <c r="J17" i="7"/>
  <c r="J72" i="7"/>
  <c r="J16" i="7"/>
  <c r="L1421" i="7"/>
  <c r="L1420" i="7"/>
  <c r="L1419" i="7"/>
  <c r="L1418" i="7"/>
  <c r="L1417" i="7"/>
  <c r="L1416" i="7"/>
  <c r="L1415" i="7"/>
  <c r="L1414" i="7"/>
  <c r="L1413" i="7"/>
  <c r="L1412" i="7"/>
  <c r="L1411" i="7"/>
  <c r="L1410" i="7"/>
  <c r="L1409" i="7"/>
  <c r="L1408" i="7"/>
  <c r="L1407" i="7"/>
  <c r="M1407" i="7" s="1"/>
  <c r="L1406" i="7"/>
  <c r="L1405" i="7"/>
  <c r="L1404" i="7"/>
  <c r="L1403" i="7"/>
  <c r="L1402" i="7"/>
  <c r="L1401" i="7"/>
  <c r="L1400" i="7"/>
  <c r="L1399" i="7"/>
  <c r="L1398" i="7"/>
  <c r="L1397" i="7"/>
  <c r="L1396" i="7"/>
  <c r="L1395" i="7"/>
  <c r="L1394" i="7"/>
  <c r="L1393" i="7"/>
  <c r="L1392" i="7"/>
  <c r="L1391" i="7"/>
  <c r="L1355" i="7"/>
  <c r="L1354" i="7"/>
  <c r="M1354" i="7" s="1"/>
  <c r="L1353" i="7"/>
  <c r="L1352" i="7"/>
  <c r="L1351" i="7"/>
  <c r="L1350" i="7"/>
  <c r="M1350" i="7" s="1"/>
  <c r="L1349" i="7"/>
  <c r="L1348" i="7"/>
  <c r="L1347" i="7"/>
  <c r="L1346" i="7"/>
  <c r="M1346" i="7" s="1"/>
  <c r="L1345" i="7"/>
  <c r="L1344" i="7"/>
  <c r="L1343" i="7"/>
  <c r="L1342" i="7"/>
  <c r="M1342" i="7" s="1"/>
  <c r="L1341" i="7"/>
  <c r="L1340" i="7"/>
  <c r="L1339" i="7"/>
  <c r="L1338" i="7"/>
  <c r="M1338" i="7" s="1"/>
  <c r="L1337" i="7"/>
  <c r="L1336" i="7"/>
  <c r="L1335" i="7"/>
  <c r="L1334" i="7"/>
  <c r="L1312" i="7"/>
  <c r="L1311" i="7"/>
  <c r="L1310" i="7"/>
  <c r="L1309" i="7"/>
  <c r="L1308" i="7"/>
  <c r="L1307" i="7"/>
  <c r="L1305" i="7"/>
  <c r="L1304" i="7"/>
  <c r="L1303" i="7"/>
  <c r="L1302" i="7"/>
  <c r="L1301" i="7"/>
  <c r="L1300" i="7"/>
  <c r="L1299" i="7"/>
  <c r="L1298" i="7"/>
  <c r="L1297" i="7"/>
  <c r="L1296" i="7"/>
  <c r="L1295" i="7"/>
  <c r="L1294" i="7"/>
  <c r="L1293" i="7"/>
  <c r="L1292" i="7"/>
  <c r="L1291" i="7"/>
  <c r="L1290" i="7"/>
  <c r="L1252" i="7"/>
  <c r="L1251" i="7"/>
  <c r="L1250" i="7"/>
  <c r="M1250" i="7" s="1"/>
  <c r="L1249" i="7"/>
  <c r="L1248" i="7"/>
  <c r="L1247" i="7"/>
  <c r="L1246" i="7"/>
  <c r="L1245" i="7"/>
  <c r="M1245" i="7" s="1"/>
  <c r="L1244" i="7"/>
  <c r="L1243" i="7"/>
  <c r="L1242" i="7"/>
  <c r="L1241" i="7"/>
  <c r="L1240" i="7"/>
  <c r="L1239" i="7"/>
  <c r="L1238" i="7"/>
  <c r="L1237" i="7"/>
  <c r="L1236" i="7"/>
  <c r="L1235" i="7"/>
  <c r="L1234" i="7"/>
  <c r="M1234" i="7" s="1"/>
  <c r="L1233" i="7"/>
  <c r="L1232" i="7"/>
  <c r="L1231" i="7"/>
  <c r="L1230" i="7"/>
  <c r="L1229" i="7"/>
  <c r="L1228" i="7"/>
  <c r="L1227" i="7"/>
  <c r="L1226" i="7"/>
  <c r="L1225" i="7"/>
  <c r="M1225" i="7" s="1"/>
  <c r="L1224" i="7"/>
  <c r="L1223" i="7"/>
  <c r="L1222" i="7"/>
  <c r="L1221" i="7"/>
  <c r="L1220" i="7"/>
  <c r="L1186" i="7"/>
  <c r="M1186" i="7" s="1"/>
  <c r="L1185" i="7"/>
  <c r="L1184" i="7"/>
  <c r="L1183" i="7"/>
  <c r="L1182" i="7"/>
  <c r="M1182" i="7" s="1"/>
  <c r="L1181" i="7"/>
  <c r="L1180" i="7"/>
  <c r="L1179" i="7"/>
  <c r="L1178" i="7"/>
  <c r="M1178" i="7" s="1"/>
  <c r="L1177" i="7"/>
  <c r="L1176" i="7"/>
  <c r="L1175" i="7"/>
  <c r="L1174" i="7"/>
  <c r="M1174" i="7" s="1"/>
  <c r="L1173" i="7"/>
  <c r="L1172" i="7"/>
  <c r="M1172" i="7" s="1"/>
  <c r="L1171" i="7"/>
  <c r="L1170" i="7"/>
  <c r="M1170" i="7" s="1"/>
  <c r="L1169" i="7"/>
  <c r="L1168" i="7"/>
  <c r="L1167" i="7"/>
  <c r="L1166" i="7"/>
  <c r="M1166" i="7" s="1"/>
  <c r="L1165" i="7"/>
  <c r="L1164" i="7"/>
  <c r="L1163" i="7"/>
  <c r="L1135" i="7"/>
  <c r="L1134" i="7"/>
  <c r="L1133" i="7"/>
  <c r="L1132" i="7"/>
  <c r="L1131" i="7"/>
  <c r="L1130" i="7"/>
  <c r="M1130" i="7" s="1"/>
  <c r="L1129" i="7"/>
  <c r="L1128" i="7"/>
  <c r="L1127" i="7"/>
  <c r="L1126" i="7"/>
  <c r="L1125" i="7"/>
  <c r="M1125" i="7" s="1"/>
  <c r="L1124" i="7"/>
  <c r="L1083" i="7"/>
  <c r="L1082" i="7"/>
  <c r="L1081" i="7"/>
  <c r="M1081" i="7" s="1"/>
  <c r="L1080" i="7"/>
  <c r="L1079" i="7"/>
  <c r="L1078" i="7"/>
  <c r="L1077" i="7"/>
  <c r="L1076" i="7"/>
  <c r="L1075" i="7"/>
  <c r="L1074" i="7"/>
  <c r="L1073" i="7"/>
  <c r="L1072" i="7"/>
  <c r="L1071" i="7"/>
  <c r="L1070" i="7"/>
  <c r="L1069" i="7"/>
  <c r="M1069" i="7" s="1"/>
  <c r="L1068" i="7"/>
  <c r="L1067" i="7"/>
  <c r="L1066" i="7"/>
  <c r="L1065" i="7"/>
  <c r="M1065" i="7" s="1"/>
  <c r="L1064" i="7"/>
  <c r="L1063" i="7"/>
  <c r="M1063" i="7" s="1"/>
  <c r="L1062" i="7"/>
  <c r="L1061" i="7"/>
  <c r="L1060" i="7"/>
  <c r="L1059" i="7"/>
  <c r="M1059" i="7" s="1"/>
  <c r="L1058" i="7"/>
  <c r="L1057" i="7"/>
  <c r="L1056" i="7"/>
  <c r="L1055" i="7"/>
  <c r="L1054" i="7"/>
  <c r="L1053" i="7"/>
  <c r="L1052" i="7"/>
  <c r="L1051" i="7"/>
  <c r="L1050" i="7"/>
  <c r="L1049" i="7"/>
  <c r="M1049" i="7" s="1"/>
  <c r="L1048" i="7"/>
  <c r="L1047" i="7"/>
  <c r="L1046" i="7"/>
  <c r="L1045" i="7"/>
  <c r="M1045" i="7" s="1"/>
  <c r="L1017" i="7"/>
  <c r="L1016" i="7"/>
  <c r="L1015" i="7"/>
  <c r="L1014" i="7"/>
  <c r="L1013" i="7"/>
  <c r="L1012" i="7"/>
  <c r="L1011" i="7"/>
  <c r="L1010" i="7"/>
  <c r="L1009" i="7"/>
  <c r="L1008" i="7"/>
  <c r="L1007" i="7"/>
  <c r="L1006" i="7"/>
  <c r="L1005" i="7"/>
  <c r="L1004" i="7"/>
  <c r="L1003" i="7"/>
  <c r="L1002" i="7"/>
  <c r="L1001" i="7"/>
  <c r="L1000" i="7"/>
  <c r="L999" i="7"/>
  <c r="L998" i="7"/>
  <c r="M998" i="7" s="1"/>
  <c r="L997" i="7"/>
  <c r="L996" i="7"/>
  <c r="L995" i="7"/>
  <c r="L994" i="7"/>
  <c r="L993" i="7"/>
  <c r="L992" i="7"/>
  <c r="L991" i="7"/>
  <c r="L958" i="7"/>
  <c r="L957" i="7"/>
  <c r="L956" i="7"/>
  <c r="L955" i="7"/>
  <c r="L954" i="7"/>
  <c r="M954" i="7" s="1"/>
  <c r="L953" i="7"/>
  <c r="L952" i="7"/>
  <c r="M952" i="7" s="1"/>
  <c r="L951" i="7"/>
  <c r="L950" i="7"/>
  <c r="M950" i="7" s="1"/>
  <c r="L949" i="7"/>
  <c r="L948" i="7"/>
  <c r="L947" i="7"/>
  <c r="L946" i="7"/>
  <c r="L945" i="7"/>
  <c r="L944" i="7"/>
  <c r="L943" i="7"/>
  <c r="L942" i="7"/>
  <c r="L941" i="7"/>
  <c r="L940" i="7"/>
  <c r="L939" i="7"/>
  <c r="L938" i="7"/>
  <c r="M938" i="7" s="1"/>
  <c r="L937" i="7"/>
  <c r="L936" i="7"/>
  <c r="L901" i="7"/>
  <c r="L900" i="7"/>
  <c r="L899" i="7"/>
  <c r="L898" i="7"/>
  <c r="M898" i="7" s="1"/>
  <c r="L897" i="7"/>
  <c r="L896" i="7"/>
  <c r="L895" i="7"/>
  <c r="L894" i="7"/>
  <c r="L893" i="7"/>
  <c r="L892" i="7"/>
  <c r="L891" i="7"/>
  <c r="L890" i="7"/>
  <c r="L889" i="7"/>
  <c r="L888" i="7"/>
  <c r="L887" i="7"/>
  <c r="L886" i="7"/>
  <c r="L885" i="7"/>
  <c r="L884" i="7"/>
  <c r="L883" i="7"/>
  <c r="L882" i="7"/>
  <c r="L881" i="7"/>
  <c r="L880" i="7"/>
  <c r="L879" i="7"/>
  <c r="L878" i="7"/>
  <c r="M878" i="7" s="1"/>
  <c r="L877" i="7"/>
  <c r="L876" i="7"/>
  <c r="L875" i="7"/>
  <c r="L874" i="7"/>
  <c r="L873" i="7"/>
  <c r="L872" i="7"/>
  <c r="L830" i="7"/>
  <c r="L829" i="7"/>
  <c r="M829" i="7" s="1"/>
  <c r="L828" i="7"/>
  <c r="L827" i="7"/>
  <c r="L826" i="7"/>
  <c r="L825" i="7"/>
  <c r="M825" i="7" s="1"/>
  <c r="L824" i="7"/>
  <c r="L823" i="7"/>
  <c r="L822" i="7"/>
  <c r="L821" i="7"/>
  <c r="M821" i="7" s="1"/>
  <c r="L819" i="7"/>
  <c r="L818" i="7"/>
  <c r="M818" i="7" s="1"/>
  <c r="L817" i="7"/>
  <c r="M817" i="7" s="1"/>
  <c r="L816" i="7"/>
  <c r="M816" i="7" s="1"/>
  <c r="L815" i="7"/>
  <c r="L814" i="7"/>
  <c r="M814" i="7" s="1"/>
  <c r="L813" i="7"/>
  <c r="L812" i="7"/>
  <c r="L811" i="7"/>
  <c r="L765" i="7"/>
  <c r="M765" i="7" s="1"/>
  <c r="L764" i="7"/>
  <c r="M764" i="7" s="1"/>
  <c r="L763" i="7"/>
  <c r="M763" i="7" s="1"/>
  <c r="L762" i="7"/>
  <c r="L761" i="7"/>
  <c r="M761" i="7" s="1"/>
  <c r="L760" i="7"/>
  <c r="M760" i="7" s="1"/>
  <c r="L759" i="7"/>
  <c r="L758" i="7"/>
  <c r="L757" i="7"/>
  <c r="M757" i="7" s="1"/>
  <c r="L756" i="7"/>
  <c r="M756" i="7" s="1"/>
  <c r="L755" i="7"/>
  <c r="M755" i="7" s="1"/>
  <c r="L754" i="7"/>
  <c r="L753" i="7"/>
  <c r="L752" i="7"/>
  <c r="M752" i="7" s="1"/>
  <c r="L751" i="7"/>
  <c r="M751" i="7" s="1"/>
  <c r="L750" i="7"/>
  <c r="L749" i="7"/>
  <c r="M749" i="7" s="1"/>
  <c r="L748" i="7"/>
  <c r="L747" i="7"/>
  <c r="M747" i="7" s="1"/>
  <c r="L746" i="7"/>
  <c r="L745" i="7"/>
  <c r="M745" i="7" s="1"/>
  <c r="L721" i="7"/>
  <c r="L719" i="7"/>
  <c r="L718" i="7"/>
  <c r="L717" i="7"/>
  <c r="M717" i="7" s="1"/>
  <c r="L716" i="7"/>
  <c r="L715" i="7"/>
  <c r="L714" i="7"/>
  <c r="L713" i="7"/>
  <c r="L712" i="7"/>
  <c r="M712" i="7" s="1"/>
  <c r="L711" i="7"/>
  <c r="L710" i="7"/>
  <c r="L709" i="7"/>
  <c r="M709" i="7" s="1"/>
  <c r="L708" i="7"/>
  <c r="M708" i="7" s="1"/>
  <c r="L707" i="7"/>
  <c r="L705" i="7"/>
  <c r="L704" i="7"/>
  <c r="L703" i="7"/>
  <c r="L702" i="7"/>
  <c r="M702" i="7" s="1"/>
  <c r="L701" i="7"/>
  <c r="M701" i="7" s="1"/>
  <c r="L700" i="7"/>
  <c r="L699" i="7"/>
  <c r="L698" i="7"/>
  <c r="M698" i="7" s="1"/>
  <c r="L697" i="7"/>
  <c r="L696" i="7"/>
  <c r="M696" i="7" s="1"/>
  <c r="L695" i="7"/>
  <c r="L694" i="7"/>
  <c r="M694" i="7" s="1"/>
  <c r="L693" i="7"/>
  <c r="L692" i="7"/>
  <c r="L691" i="7"/>
  <c r="L690" i="7"/>
  <c r="M690" i="7" s="1"/>
  <c r="L654" i="7"/>
  <c r="L653" i="7"/>
  <c r="M653" i="7" s="1"/>
  <c r="L652" i="7"/>
  <c r="M652" i="7" s="1"/>
  <c r="L651" i="7"/>
  <c r="L650" i="7"/>
  <c r="L649" i="7"/>
  <c r="M649" i="7" s="1"/>
  <c r="L648" i="7"/>
  <c r="L610" i="7"/>
  <c r="L609" i="7"/>
  <c r="L608" i="7"/>
  <c r="M608" i="7" s="1"/>
  <c r="L607" i="7"/>
  <c r="L606" i="7"/>
  <c r="L605" i="7"/>
  <c r="L604" i="7"/>
  <c r="M604" i="7" s="1"/>
  <c r="L603" i="7"/>
  <c r="M603" i="7" s="1"/>
  <c r="L602" i="7"/>
  <c r="L601" i="7"/>
  <c r="L600" i="7"/>
  <c r="L599" i="7"/>
  <c r="L564" i="7"/>
  <c r="L563" i="7"/>
  <c r="L562" i="7"/>
  <c r="L561" i="7"/>
  <c r="M561" i="7" s="1"/>
  <c r="L560" i="7"/>
  <c r="M560" i="7" s="1"/>
  <c r="L513" i="7"/>
  <c r="L512" i="7"/>
  <c r="L511" i="7"/>
  <c r="M511" i="7" s="1"/>
  <c r="L510" i="7"/>
  <c r="L509" i="7"/>
  <c r="L508" i="7"/>
  <c r="M508" i="7" s="1"/>
  <c r="L507" i="7"/>
  <c r="M507" i="7" s="1"/>
  <c r="L506" i="7"/>
  <c r="L505" i="7"/>
  <c r="L504" i="7"/>
  <c r="M504" i="7" s="1"/>
  <c r="L503" i="7"/>
  <c r="L502" i="7"/>
  <c r="L501" i="7"/>
  <c r="L500" i="7"/>
  <c r="M500" i="7" s="1"/>
  <c r="L499" i="7"/>
  <c r="M499" i="7" s="1"/>
  <c r="L498" i="7"/>
  <c r="L497" i="7"/>
  <c r="L496" i="7"/>
  <c r="L495" i="7"/>
  <c r="M495" i="7" s="1"/>
  <c r="L466" i="7"/>
  <c r="L465" i="7"/>
  <c r="L464" i="7"/>
  <c r="M464" i="7" s="1"/>
  <c r="L463" i="7"/>
  <c r="L462" i="7"/>
  <c r="L461" i="7"/>
  <c r="L460" i="7"/>
  <c r="M460" i="7" s="1"/>
  <c r="L459" i="7"/>
  <c r="M459" i="7" s="1"/>
  <c r="L458" i="7"/>
  <c r="L457" i="7"/>
  <c r="L456" i="7"/>
  <c r="L455" i="7"/>
  <c r="M455" i="7" s="1"/>
  <c r="L454" i="7"/>
  <c r="L453" i="7"/>
  <c r="L452" i="7"/>
  <c r="L451" i="7"/>
  <c r="M451" i="7" s="1"/>
  <c r="L450" i="7"/>
  <c r="L449" i="7"/>
  <c r="L448" i="7"/>
  <c r="M448" i="7" s="1"/>
  <c r="L447" i="7"/>
  <c r="L446" i="7"/>
  <c r="L445" i="7"/>
  <c r="L444" i="7"/>
  <c r="M444" i="7" s="1"/>
  <c r="L443" i="7"/>
  <c r="M443" i="7" s="1"/>
  <c r="L442" i="7"/>
  <c r="L441" i="7"/>
  <c r="L440" i="7"/>
  <c r="M440" i="7" s="1"/>
  <c r="L439" i="7"/>
  <c r="M439" i="7" s="1"/>
  <c r="L438" i="7"/>
  <c r="L437" i="7"/>
  <c r="L436" i="7"/>
  <c r="M436" i="7" s="1"/>
  <c r="L435" i="7"/>
  <c r="L434" i="7"/>
  <c r="L403" i="7"/>
  <c r="L402" i="7"/>
  <c r="M402" i="7" s="1"/>
  <c r="L401" i="7"/>
  <c r="M401" i="7" s="1"/>
  <c r="L400" i="7"/>
  <c r="L399" i="7"/>
  <c r="L398" i="7"/>
  <c r="M398" i="7" s="1"/>
  <c r="L372" i="7"/>
  <c r="L371" i="7"/>
  <c r="L370" i="7"/>
  <c r="L369" i="7"/>
  <c r="M369" i="7" s="1"/>
  <c r="L368" i="7"/>
  <c r="L367" i="7"/>
  <c r="L366" i="7"/>
  <c r="L365" i="7"/>
  <c r="M365" i="7" s="1"/>
  <c r="L364" i="7"/>
  <c r="L363" i="7"/>
  <c r="L362" i="7"/>
  <c r="L361" i="7"/>
  <c r="M361" i="7" s="1"/>
  <c r="L360" i="7"/>
  <c r="L358" i="7"/>
  <c r="M358" i="7" s="1"/>
  <c r="L357" i="7"/>
  <c r="L356" i="7"/>
  <c r="M356" i="7" s="1"/>
  <c r="L355" i="7"/>
  <c r="M355" i="7" s="1"/>
  <c r="L354" i="7"/>
  <c r="L353" i="7"/>
  <c r="L352" i="7"/>
  <c r="M352" i="7" s="1"/>
  <c r="L351" i="7"/>
  <c r="M351" i="7" s="1"/>
  <c r="L350" i="7"/>
  <c r="L349" i="7"/>
  <c r="L348" i="7"/>
  <c r="M348" i="7" s="1"/>
  <c r="L347" i="7"/>
  <c r="L345" i="7"/>
  <c r="L344" i="7"/>
  <c r="M344" i="7" s="1"/>
  <c r="L343" i="7"/>
  <c r="M343" i="7" s="1"/>
  <c r="L342" i="7"/>
  <c r="L341" i="7"/>
  <c r="M341" i="7" s="1"/>
  <c r="L340" i="7"/>
  <c r="M340" i="7" s="1"/>
  <c r="L338" i="7"/>
  <c r="M338" i="7" s="1"/>
  <c r="L337" i="7"/>
  <c r="M337" i="7" s="1"/>
  <c r="L336" i="7"/>
  <c r="L335" i="7"/>
  <c r="L334" i="7"/>
  <c r="M334" i="7" s="1"/>
  <c r="L332" i="7"/>
  <c r="L331" i="7"/>
  <c r="L330" i="7"/>
  <c r="L296" i="7"/>
  <c r="M296" i="7" s="1"/>
  <c r="L295" i="7"/>
  <c r="L294" i="7"/>
  <c r="L293" i="7"/>
  <c r="L292" i="7"/>
  <c r="M292" i="7" s="1"/>
  <c r="L291" i="7"/>
  <c r="L290" i="7"/>
  <c r="L289" i="7"/>
  <c r="L288" i="7"/>
  <c r="M288" i="7" s="1"/>
  <c r="L234" i="7"/>
  <c r="L233" i="7"/>
  <c r="M233" i="7" s="1"/>
  <c r="L232" i="7"/>
  <c r="M232" i="7" s="1"/>
  <c r="L231" i="7"/>
  <c r="L230" i="7"/>
  <c r="L229" i="7"/>
  <c r="L228" i="7"/>
  <c r="M228" i="7" s="1"/>
  <c r="L227" i="7"/>
  <c r="L226" i="7"/>
  <c r="L225" i="7"/>
  <c r="M225" i="7" s="1"/>
  <c r="L224" i="7"/>
  <c r="M224" i="7" s="1"/>
  <c r="L223" i="7"/>
  <c r="L222" i="7"/>
  <c r="L221" i="7"/>
  <c r="L220" i="7"/>
  <c r="M220" i="7" s="1"/>
  <c r="L219" i="7"/>
  <c r="L218" i="7"/>
  <c r="L217" i="7"/>
  <c r="M217" i="7" s="1"/>
  <c r="L216" i="7"/>
  <c r="M216" i="7" s="1"/>
  <c r="L215" i="7"/>
  <c r="L214" i="7"/>
  <c r="L213" i="7"/>
  <c r="L212" i="7"/>
  <c r="M212" i="7" s="1"/>
  <c r="L211" i="7"/>
  <c r="L210" i="7"/>
  <c r="L209" i="7"/>
  <c r="M209" i="7" s="1"/>
  <c r="L208" i="7"/>
  <c r="M208" i="7" s="1"/>
  <c r="L207" i="7"/>
  <c r="L206" i="7"/>
  <c r="L205" i="7"/>
  <c r="M205" i="7" s="1"/>
  <c r="L204" i="7"/>
  <c r="L203" i="7"/>
  <c r="L202" i="7"/>
  <c r="M202" i="7" s="1"/>
  <c r="L201" i="7"/>
  <c r="M201" i="7" s="1"/>
  <c r="L200" i="7"/>
  <c r="M200" i="7" s="1"/>
  <c r="L199" i="7"/>
  <c r="L198" i="7"/>
  <c r="L197" i="7"/>
  <c r="L195" i="7"/>
  <c r="L194" i="7"/>
  <c r="M194" i="7" s="1"/>
  <c r="L193" i="7"/>
  <c r="M193" i="7" s="1"/>
  <c r="L192" i="7"/>
  <c r="L191" i="7"/>
  <c r="L190" i="7"/>
  <c r="M190" i="7" s="1"/>
  <c r="L189" i="7"/>
  <c r="M189" i="7" s="1"/>
  <c r="L188" i="7"/>
  <c r="M188" i="7" s="1"/>
  <c r="L187" i="7"/>
  <c r="L186" i="7"/>
  <c r="M186" i="7" s="1"/>
  <c r="L185" i="7"/>
  <c r="L184" i="7"/>
  <c r="L183" i="7"/>
  <c r="L182" i="7"/>
  <c r="L138" i="7"/>
  <c r="L137" i="7"/>
  <c r="M137" i="7" s="1"/>
  <c r="L136" i="7"/>
  <c r="M136" i="7" s="1"/>
  <c r="L135" i="7"/>
  <c r="M135" i="7" s="1"/>
  <c r="L134" i="7"/>
  <c r="L133" i="7"/>
  <c r="M133" i="7" s="1"/>
  <c r="L132" i="7"/>
  <c r="M132" i="7" s="1"/>
  <c r="L131" i="7"/>
  <c r="L130" i="7"/>
  <c r="M130" i="7" s="1"/>
  <c r="L129" i="7"/>
  <c r="M129" i="7" s="1"/>
  <c r="L128" i="7"/>
  <c r="M128" i="7" s="1"/>
  <c r="L127" i="7"/>
  <c r="L126" i="7"/>
  <c r="M126" i="7" s="1"/>
  <c r="L125" i="7"/>
  <c r="M125" i="7" s="1"/>
  <c r="L124" i="7"/>
  <c r="M124" i="7" s="1"/>
  <c r="L123" i="7"/>
  <c r="L122" i="7"/>
  <c r="L121" i="7"/>
  <c r="M121" i="7" s="1"/>
  <c r="L120" i="7"/>
  <c r="M120" i="7" s="1"/>
  <c r="L119" i="7"/>
  <c r="M119" i="7" s="1"/>
  <c r="L118" i="7"/>
  <c r="L117" i="7"/>
  <c r="M117" i="7" s="1"/>
  <c r="L116" i="7"/>
  <c r="M116" i="7" s="1"/>
  <c r="L115" i="7"/>
  <c r="M115" i="7" s="1"/>
  <c r="L113" i="7"/>
  <c r="M113" i="7" s="1"/>
  <c r="L112" i="7"/>
  <c r="L111" i="7"/>
  <c r="L110" i="7"/>
  <c r="M110" i="7" s="1"/>
  <c r="L109" i="7"/>
  <c r="L108" i="7"/>
  <c r="L107" i="7"/>
  <c r="L106" i="7"/>
  <c r="L105" i="7"/>
  <c r="L104" i="7"/>
  <c r="L102" i="7"/>
  <c r="L71" i="7"/>
  <c r="L70" i="7"/>
  <c r="L69" i="7"/>
  <c r="M69" i="7" s="1"/>
  <c r="L68" i="7"/>
  <c r="M68" i="7" s="1"/>
  <c r="L67" i="7"/>
  <c r="L66" i="7"/>
  <c r="L65" i="7"/>
  <c r="M65" i="7" s="1"/>
  <c r="L64" i="7"/>
  <c r="K1367" i="7"/>
  <c r="K1362" i="7"/>
  <c r="K1321" i="7"/>
  <c r="K1316" i="7" s="1"/>
  <c r="K1268" i="7"/>
  <c r="K1198" i="7"/>
  <c r="K1191" i="7"/>
  <c r="K1189" i="7" s="1"/>
  <c r="K1143" i="7"/>
  <c r="K1138" i="7"/>
  <c r="K1123" i="7"/>
  <c r="K1095" i="7"/>
  <c r="K1044" i="7"/>
  <c r="K1026" i="7"/>
  <c r="K1021" i="7"/>
  <c r="K918" i="7"/>
  <c r="K913" i="7"/>
  <c r="K845" i="7"/>
  <c r="K838" i="7"/>
  <c r="K647" i="7"/>
  <c r="K629" i="7"/>
  <c r="K614" i="7"/>
  <c r="K598" i="7"/>
  <c r="K520" i="7"/>
  <c r="K479" i="7"/>
  <c r="K472" i="7"/>
  <c r="K412" i="7"/>
  <c r="K406" i="7"/>
  <c r="K397" i="7"/>
  <c r="K329" i="7"/>
  <c r="K305" i="7"/>
  <c r="K299" i="7"/>
  <c r="K287" i="7"/>
  <c r="K269" i="7"/>
  <c r="K158" i="7"/>
  <c r="K14" i="7"/>
  <c r="K7" i="7"/>
  <c r="J1123" i="7"/>
  <c r="J397" i="7"/>
  <c r="J287" i="7"/>
  <c r="L72" i="7"/>
  <c r="J689" i="7"/>
  <c r="L820" i="7"/>
  <c r="M820" i="7" s="1"/>
  <c r="L902" i="7"/>
  <c r="M902" i="7" s="1"/>
  <c r="J871" i="7"/>
  <c r="M218" i="7"/>
  <c r="M454" i="7"/>
  <c r="M599" i="7"/>
  <c r="M719" i="7"/>
  <c r="M746" i="7"/>
  <c r="M754" i="7"/>
  <c r="M758" i="7"/>
  <c r="M762" i="7"/>
  <c r="M819" i="7"/>
  <c r="M1134" i="7"/>
  <c r="M1226" i="7"/>
  <c r="M1295" i="7"/>
  <c r="M1303" i="7"/>
  <c r="M1344" i="7"/>
  <c r="M1399" i="7"/>
  <c r="M185" i="7"/>
  <c r="M221" i="7"/>
  <c r="M290" i="7"/>
  <c r="M606" i="7"/>
  <c r="M710" i="7"/>
  <c r="M718" i="7"/>
  <c r="M753" i="7"/>
  <c r="M944" i="7"/>
  <c r="M991" i="7"/>
  <c r="M995" i="7"/>
  <c r="M1011" i="7"/>
  <c r="M1015" i="7"/>
  <c r="M1046" i="7"/>
  <c r="M1050" i="7"/>
  <c r="M1066" i="7"/>
  <c r="M1070" i="7"/>
  <c r="M1133" i="7"/>
  <c r="M1164" i="7"/>
  <c r="M1180" i="7"/>
  <c r="M1229" i="7"/>
  <c r="M1233" i="7"/>
  <c r="M1241" i="7"/>
  <c r="M1249" i="7"/>
  <c r="M1294" i="7"/>
  <c r="M1335" i="7"/>
  <c r="M1355" i="7"/>
  <c r="M1394" i="7"/>
  <c r="M1406" i="7"/>
  <c r="M1410" i="7"/>
  <c r="M1418" i="7"/>
  <c r="M107" i="7"/>
  <c r="M131" i="7"/>
  <c r="M204" i="7"/>
  <c r="M335" i="7"/>
  <c r="M452" i="7"/>
  <c r="M456" i="7"/>
  <c r="M601" i="7"/>
  <c r="M605" i="7"/>
  <c r="M609" i="7"/>
  <c r="M654" i="7"/>
  <c r="M693" i="7"/>
  <c r="M697" i="7"/>
  <c r="M705" i="7"/>
  <c r="M713" i="7"/>
  <c r="M721" i="7"/>
  <c r="M882" i="7"/>
  <c r="M894" i="7"/>
  <c r="M943" i="7"/>
  <c r="M947" i="7"/>
  <c r="M994" i="7"/>
  <c r="M1010" i="7"/>
  <c r="M1014" i="7"/>
  <c r="M1053" i="7"/>
  <c r="M1057" i="7"/>
  <c r="M1061" i="7"/>
  <c r="M1073" i="7"/>
  <c r="M1077" i="7"/>
  <c r="M1171" i="7"/>
  <c r="M1236" i="7"/>
  <c r="M1293" i="7"/>
  <c r="M1297" i="7"/>
  <c r="M1313" i="7"/>
  <c r="M832" i="7"/>
  <c r="M106" i="7"/>
  <c r="M118" i="7"/>
  <c r="M231" i="7"/>
  <c r="M372" i="7"/>
  <c r="M447" i="7"/>
  <c r="M463" i="7"/>
  <c r="M600" i="7"/>
  <c r="M716" i="7"/>
  <c r="M759" i="7"/>
  <c r="M812" i="7"/>
  <c r="M873" i="7"/>
  <c r="M877" i="7"/>
  <c r="M881" i="7"/>
  <c r="M885" i="7"/>
  <c r="M889" i="7"/>
  <c r="M893" i="7"/>
  <c r="M897" i="7"/>
  <c r="M901" i="7"/>
  <c r="M942" i="7"/>
  <c r="M946" i="7"/>
  <c r="M958" i="7"/>
  <c r="M1341" i="7"/>
  <c r="M1353" i="7"/>
  <c r="M1416" i="7"/>
  <c r="J647" i="7"/>
  <c r="L1422" i="7"/>
  <c r="M1422" i="7" s="1"/>
  <c r="L611" i="7"/>
  <c r="M611" i="7" s="1"/>
  <c r="K256" i="7"/>
  <c r="L256" i="7" s="1"/>
  <c r="K263" i="7"/>
  <c r="J1374" i="7"/>
  <c r="L1374" i="7" s="1"/>
  <c r="J1378" i="7"/>
  <c r="K664" i="7"/>
  <c r="K574" i="7"/>
  <c r="K677" i="7"/>
  <c r="K682" i="7"/>
  <c r="K706" i="7"/>
  <c r="K689" i="7"/>
  <c r="K688" i="7"/>
  <c r="L688" i="7" s="1"/>
  <c r="M688" i="7" s="1"/>
  <c r="K687" i="7"/>
  <c r="K685" i="7"/>
  <c r="K684" i="7"/>
  <c r="L684" i="7" s="1"/>
  <c r="M684" i="7" s="1"/>
  <c r="K681" i="7"/>
  <c r="K680" i="7"/>
  <c r="K679" i="7"/>
  <c r="L679" i="7" s="1"/>
  <c r="K675" i="7"/>
  <c r="L675" i="7" s="1"/>
  <c r="K674" i="7"/>
  <c r="K673" i="7"/>
  <c r="K671" i="7"/>
  <c r="K670" i="7"/>
  <c r="K669" i="7"/>
  <c r="K667" i="7"/>
  <c r="K666" i="7"/>
  <c r="L666" i="7" s="1"/>
  <c r="K665" i="7"/>
  <c r="L665" i="7" s="1"/>
  <c r="M665" i="7" s="1"/>
  <c r="K661" i="7"/>
  <c r="L661" i="7" s="1"/>
  <c r="M661" i="7" s="1"/>
  <c r="K660" i="7"/>
  <c r="L706" i="7"/>
  <c r="M706" i="7" s="1"/>
  <c r="K1088" i="7"/>
  <c r="K1087" i="7" s="1"/>
  <c r="K1085" i="7" s="1"/>
  <c r="J40" i="7"/>
  <c r="K595" i="7"/>
  <c r="K575" i="7"/>
  <c r="L575" i="7" s="1"/>
  <c r="M575" i="7" s="1"/>
  <c r="K583" i="7"/>
  <c r="K149" i="7"/>
  <c r="K144" i="7" s="1"/>
  <c r="K242" i="7"/>
  <c r="K114" i="7"/>
  <c r="K101" i="7"/>
  <c r="K793" i="7"/>
  <c r="K783" i="7" s="1"/>
  <c r="K778" i="7"/>
  <c r="K775" i="7"/>
  <c r="L114" i="7"/>
  <c r="M114" i="7" s="1"/>
  <c r="J538" i="7"/>
  <c r="J415" i="7"/>
  <c r="J1213" i="7"/>
  <c r="J1208" i="7"/>
  <c r="J319" i="7"/>
  <c r="J159" i="7"/>
  <c r="J158" i="7"/>
  <c r="L63" i="7"/>
  <c r="L62" i="7"/>
  <c r="M62" i="7" s="1"/>
  <c r="L61" i="7"/>
  <c r="M61" i="7" s="1"/>
  <c r="L60" i="7"/>
  <c r="M60" i="7" s="1"/>
  <c r="L59" i="7"/>
  <c r="L58" i="7"/>
  <c r="M58" i="7" s="1"/>
  <c r="L57" i="7"/>
  <c r="M57" i="7" s="1"/>
  <c r="L56" i="7"/>
  <c r="M56" i="7" s="1"/>
  <c r="L55" i="7"/>
  <c r="L54" i="7"/>
  <c r="M54" i="7" s="1"/>
  <c r="L53" i="7"/>
  <c r="L52" i="7"/>
  <c r="M52" i="7" s="1"/>
  <c r="L51" i="7"/>
  <c r="L50" i="7"/>
  <c r="M50" i="7" s="1"/>
  <c r="L49" i="7"/>
  <c r="L48" i="7"/>
  <c r="M48" i="7" s="1"/>
  <c r="L47" i="7"/>
  <c r="L46" i="7"/>
  <c r="M46" i="7" s="1"/>
  <c r="L45" i="7"/>
  <c r="M45" i="7" s="1"/>
  <c r="L44" i="7"/>
  <c r="M44" i="7" s="1"/>
  <c r="J1362" i="7"/>
  <c r="J1318" i="7"/>
  <c r="J1261" i="7"/>
  <c r="J1191" i="7"/>
  <c r="J1138" i="7"/>
  <c r="J1087" i="7"/>
  <c r="J1021" i="7"/>
  <c r="J963" i="7"/>
  <c r="J913" i="7"/>
  <c r="J838" i="7"/>
  <c r="J775" i="7"/>
  <c r="J658" i="7"/>
  <c r="J614" i="7"/>
  <c r="J571" i="7"/>
  <c r="J520" i="7"/>
  <c r="J472" i="7"/>
  <c r="J406" i="7"/>
  <c r="J377" i="7"/>
  <c r="J299" i="7"/>
  <c r="J240" i="7"/>
  <c r="J144" i="7"/>
  <c r="J79" i="7"/>
  <c r="J7" i="7"/>
  <c r="J1282" i="7"/>
  <c r="L1282" i="7" s="1"/>
  <c r="M1282" i="7" s="1"/>
  <c r="J1281" i="7"/>
  <c r="L1281" i="7" s="1"/>
  <c r="M1281" i="7" s="1"/>
  <c r="J1095" i="7"/>
  <c r="J989" i="7"/>
  <c r="L989" i="7" s="1"/>
  <c r="M989" i="7" s="1"/>
  <c r="J972" i="7"/>
  <c r="J985" i="7"/>
  <c r="L985" i="7" s="1"/>
  <c r="J974" i="7"/>
  <c r="L974" i="7" s="1"/>
  <c r="M974" i="7" s="1"/>
  <c r="J975" i="7"/>
  <c r="L975" i="7" s="1"/>
  <c r="M975" i="7" s="1"/>
  <c r="M49" i="7"/>
  <c r="M53" i="7"/>
  <c r="J674" i="7"/>
  <c r="L674" i="7" s="1"/>
  <c r="M674" i="7" s="1"/>
  <c r="J671" i="7"/>
  <c r="J431" i="7"/>
  <c r="J425" i="7"/>
  <c r="J269" i="7"/>
  <c r="L43" i="7"/>
  <c r="L1388" i="7"/>
  <c r="M1388" i="7" s="1"/>
  <c r="L1387" i="7"/>
  <c r="L1384" i="7"/>
  <c r="M1384" i="7" s="1"/>
  <c r="L1383" i="7"/>
  <c r="M1383" i="7" s="1"/>
  <c r="L1382" i="7"/>
  <c r="L1381" i="7"/>
  <c r="L1380" i="7"/>
  <c r="M1380" i="7" s="1"/>
  <c r="L1379" i="7"/>
  <c r="M1379" i="7" s="1"/>
  <c r="L1377" i="7"/>
  <c r="L1376" i="7"/>
  <c r="L1375" i="7"/>
  <c r="L1373" i="7"/>
  <c r="M1373" i="7" s="1"/>
  <c r="L1372" i="7"/>
  <c r="M1372" i="7" s="1"/>
  <c r="L1370" i="7"/>
  <c r="M1370" i="7" s="1"/>
  <c r="L1369" i="7"/>
  <c r="M1369" i="7" s="1"/>
  <c r="L1368" i="7"/>
  <c r="L1366" i="7"/>
  <c r="L1365" i="7"/>
  <c r="M1365" i="7" s="1"/>
  <c r="L1364" i="7"/>
  <c r="M1364" i="7" s="1"/>
  <c r="L1363" i="7"/>
  <c r="M1363" i="7" s="1"/>
  <c r="L1332" i="7"/>
  <c r="M1332" i="7" s="1"/>
  <c r="L1331" i="7"/>
  <c r="L1330" i="7"/>
  <c r="L1327" i="7"/>
  <c r="L1326" i="7"/>
  <c r="L1325" i="7"/>
  <c r="M1325" i="7" s="1"/>
  <c r="L1324" i="7"/>
  <c r="M1324" i="7" s="1"/>
  <c r="L1323" i="7"/>
  <c r="L1322" i="7"/>
  <c r="L1320" i="7"/>
  <c r="M1320" i="7" s="1"/>
  <c r="L1319" i="7"/>
  <c r="M1319" i="7" s="1"/>
  <c r="L1288" i="7"/>
  <c r="M1288" i="7" s="1"/>
  <c r="L1287" i="7"/>
  <c r="L1286" i="7"/>
  <c r="L1285" i="7"/>
  <c r="M1285" i="7" s="1"/>
  <c r="L1284" i="7"/>
  <c r="M1284" i="7" s="1"/>
  <c r="L1283" i="7"/>
  <c r="M1283" i="7" s="1"/>
  <c r="L1280" i="7"/>
  <c r="M1280" i="7" s="1"/>
  <c r="L1279" i="7"/>
  <c r="L1278" i="7"/>
  <c r="L1277" i="7"/>
  <c r="L1276" i="7"/>
  <c r="M1276" i="7" s="1"/>
  <c r="L1275" i="7"/>
  <c r="L1273" i="7"/>
  <c r="M1273" i="7" s="1"/>
  <c r="L1272" i="7"/>
  <c r="M1272" i="7" s="1"/>
  <c r="L1271" i="7"/>
  <c r="L1270" i="7"/>
  <c r="L1269" i="7"/>
  <c r="M1269" i="7" s="1"/>
  <c r="L1267" i="7"/>
  <c r="M1267" i="7" s="1"/>
  <c r="L1265" i="7"/>
  <c r="L1264" i="7"/>
  <c r="M1264" i="7" s="1"/>
  <c r="L1263" i="7"/>
  <c r="M1263" i="7" s="1"/>
  <c r="L1262" i="7"/>
  <c r="L1218" i="7"/>
  <c r="L1217" i="7"/>
  <c r="M1217" i="7" s="1"/>
  <c r="L1216" i="7"/>
  <c r="M1216" i="7" s="1"/>
  <c r="L1215" i="7"/>
  <c r="L1214" i="7"/>
  <c r="L1212" i="7"/>
  <c r="L1211" i="7"/>
  <c r="M1211" i="7" s="1"/>
  <c r="L1210" i="7"/>
  <c r="M1210" i="7" s="1"/>
  <c r="L1209" i="7"/>
  <c r="M1209" i="7" s="1"/>
  <c r="L1207" i="7"/>
  <c r="L1206" i="7"/>
  <c r="L1205" i="7"/>
  <c r="M1205" i="7" s="1"/>
  <c r="L1203" i="7"/>
  <c r="L1202" i="7"/>
  <c r="M1202" i="7" s="1"/>
  <c r="L1201" i="7"/>
  <c r="L1200" i="7"/>
  <c r="L1199" i="7"/>
  <c r="L1197" i="7"/>
  <c r="M1197" i="7" s="1"/>
  <c r="L1196" i="7"/>
  <c r="M1196" i="7" s="1"/>
  <c r="L1195" i="7"/>
  <c r="L1194" i="7"/>
  <c r="L1193" i="7"/>
  <c r="M1193" i="7" s="1"/>
  <c r="L1192" i="7"/>
  <c r="L1161" i="7"/>
  <c r="L1160" i="7"/>
  <c r="M1160" i="7" s="1"/>
  <c r="L1159" i="7"/>
  <c r="M1159" i="7" s="1"/>
  <c r="L1158" i="7"/>
  <c r="M1158" i="7" s="1"/>
  <c r="L1157" i="7"/>
  <c r="L1156" i="7"/>
  <c r="M1156" i="7" s="1"/>
  <c r="L1155" i="7"/>
  <c r="M1155" i="7" s="1"/>
  <c r="L1154" i="7"/>
  <c r="M1154" i="7" s="1"/>
  <c r="L1153" i="7"/>
  <c r="L1152" i="7"/>
  <c r="L1151" i="7"/>
  <c r="L1150" i="7"/>
  <c r="L1149" i="7"/>
  <c r="M1149" i="7" s="1"/>
  <c r="L1148" i="7"/>
  <c r="L1147" i="7"/>
  <c r="M1147" i="7" s="1"/>
  <c r="L1146" i="7"/>
  <c r="M1146" i="7" s="1"/>
  <c r="L1145" i="7"/>
  <c r="L1144" i="7"/>
  <c r="L1142" i="7"/>
  <c r="M1142" i="7" s="1"/>
  <c r="L1141" i="7"/>
  <c r="M1141" i="7" s="1"/>
  <c r="L1140" i="7"/>
  <c r="L1139" i="7"/>
  <c r="M1139" i="7" s="1"/>
  <c r="L1122" i="7"/>
  <c r="M1122" i="7" s="1"/>
  <c r="L1121" i="7"/>
  <c r="M1121" i="7" s="1"/>
  <c r="L1120" i="7"/>
  <c r="L1119" i="7"/>
  <c r="L1118" i="7"/>
  <c r="M1118" i="7" s="1"/>
  <c r="L1117" i="7"/>
  <c r="M1117" i="7" s="1"/>
  <c r="L1115" i="7"/>
  <c r="L1114" i="7"/>
  <c r="M1114" i="7" s="1"/>
  <c r="L1113" i="7"/>
  <c r="M1113" i="7" s="1"/>
  <c r="L1112" i="7"/>
  <c r="L1110" i="7"/>
  <c r="L1109" i="7"/>
  <c r="M1109" i="7" s="1"/>
  <c r="L1108" i="7"/>
  <c r="M1108" i="7" s="1"/>
  <c r="L1107" i="7"/>
  <c r="L1106" i="7"/>
  <c r="L1105" i="7"/>
  <c r="M1105" i="7" s="1"/>
  <c r="L1104" i="7"/>
  <c r="M1104" i="7" s="1"/>
  <c r="L1103" i="7"/>
  <c r="L1102" i="7"/>
  <c r="L1101" i="7"/>
  <c r="L1100" i="7"/>
  <c r="M1100" i="7" s="1"/>
  <c r="L1099" i="7"/>
  <c r="L1098" i="7"/>
  <c r="L1097" i="7"/>
  <c r="M1097" i="7" s="1"/>
  <c r="L1096" i="7"/>
  <c r="L1094" i="7"/>
  <c r="L1093" i="7"/>
  <c r="L1092" i="7"/>
  <c r="M1092" i="7" s="1"/>
  <c r="L1091" i="7"/>
  <c r="M1091" i="7" s="1"/>
  <c r="L1090" i="7"/>
  <c r="L1089" i="7"/>
  <c r="L1043" i="7"/>
  <c r="M1043" i="7" s="1"/>
  <c r="L1042" i="7"/>
  <c r="L1041" i="7"/>
  <c r="M1041" i="7" s="1"/>
  <c r="L1040" i="7"/>
  <c r="L1039" i="7"/>
  <c r="M1039" i="7" s="1"/>
  <c r="L1038" i="7"/>
  <c r="L1037" i="7"/>
  <c r="M1037" i="7" s="1"/>
  <c r="L1036" i="7"/>
  <c r="M1036" i="7" s="1"/>
  <c r="L1035" i="7"/>
  <c r="M1035" i="7" s="1"/>
  <c r="L1034" i="7"/>
  <c r="L1033" i="7"/>
  <c r="M1033" i="7" s="1"/>
  <c r="L1032" i="7"/>
  <c r="M1032" i="7" s="1"/>
  <c r="L1031" i="7"/>
  <c r="M1031" i="7" s="1"/>
  <c r="L1030" i="7"/>
  <c r="L1029" i="7"/>
  <c r="L1028" i="7"/>
  <c r="M1028" i="7" s="1"/>
  <c r="L1027" i="7"/>
  <c r="L1026" i="7" s="1"/>
  <c r="L1023" i="7"/>
  <c r="M1023" i="7" s="1"/>
  <c r="L1025" i="7"/>
  <c r="L1024" i="7"/>
  <c r="L1022" i="7"/>
  <c r="L1021" i="7" s="1"/>
  <c r="L988" i="7"/>
  <c r="L987" i="7"/>
  <c r="L986" i="7"/>
  <c r="M986" i="7" s="1"/>
  <c r="L984" i="7"/>
  <c r="M984" i="7" s="1"/>
  <c r="L983" i="7"/>
  <c r="L982" i="7"/>
  <c r="M982" i="7" s="1"/>
  <c r="L981" i="7"/>
  <c r="L980" i="7"/>
  <c r="L979" i="7"/>
  <c r="L978" i="7"/>
  <c r="M978" i="7" s="1"/>
  <c r="L977" i="7"/>
  <c r="M977" i="7" s="1"/>
  <c r="L976" i="7"/>
  <c r="M976" i="7" s="1"/>
  <c r="L973" i="7"/>
  <c r="M973" i="7" s="1"/>
  <c r="L970" i="7"/>
  <c r="M970" i="7" s="1"/>
  <c r="L969" i="7"/>
  <c r="M969" i="7" s="1"/>
  <c r="L968" i="7"/>
  <c r="M968" i="7" s="1"/>
  <c r="L967" i="7"/>
  <c r="L966" i="7"/>
  <c r="M966" i="7" s="1"/>
  <c r="L965" i="7"/>
  <c r="M965" i="7" s="1"/>
  <c r="L964" i="7"/>
  <c r="L934" i="7"/>
  <c r="L933" i="7"/>
  <c r="M933" i="7" s="1"/>
  <c r="L932" i="7"/>
  <c r="L930" i="7"/>
  <c r="M930" i="7" s="1"/>
  <c r="L929" i="7"/>
  <c r="M929" i="7" s="1"/>
  <c r="L927" i="7"/>
  <c r="L926" i="7"/>
  <c r="L925" i="7"/>
  <c r="M925" i="7" s="1"/>
  <c r="L924" i="7"/>
  <c r="M924" i="7" s="1"/>
  <c r="L922" i="7"/>
  <c r="L921" i="7"/>
  <c r="M921" i="7" s="1"/>
  <c r="L920" i="7"/>
  <c r="M920" i="7" s="1"/>
  <c r="L919" i="7"/>
  <c r="L917" i="7"/>
  <c r="L916" i="7"/>
  <c r="M916" i="7" s="1"/>
  <c r="L915" i="7"/>
  <c r="M915" i="7" s="1"/>
  <c r="L914" i="7"/>
  <c r="L869" i="7"/>
  <c r="L868" i="7"/>
  <c r="M868" i="7" s="1"/>
  <c r="L867" i="7"/>
  <c r="M867" i="7" s="1"/>
  <c r="L866" i="7"/>
  <c r="L865" i="7"/>
  <c r="L864" i="7"/>
  <c r="L862" i="7"/>
  <c r="L861" i="7"/>
  <c r="M861" i="7" s="1"/>
  <c r="L860" i="7"/>
  <c r="M860" i="7" s="1"/>
  <c r="L859" i="7"/>
  <c r="M859" i="7" s="1"/>
  <c r="L858" i="7"/>
  <c r="M858" i="7" s="1"/>
  <c r="L857" i="7"/>
  <c r="L856" i="7"/>
  <c r="M856" i="7" s="1"/>
  <c r="L855" i="7"/>
  <c r="L870" i="7"/>
  <c r="M870" i="7" s="1"/>
  <c r="L854" i="7"/>
  <c r="L853" i="7"/>
  <c r="L852" i="7"/>
  <c r="M852" i="7" s="1"/>
  <c r="L851" i="7"/>
  <c r="M851" i="7" s="1"/>
  <c r="L850" i="7"/>
  <c r="L849" i="7"/>
  <c r="M849" i="7" s="1"/>
  <c r="L848" i="7"/>
  <c r="L846" i="7"/>
  <c r="L844" i="7"/>
  <c r="M844" i="7" s="1"/>
  <c r="L843" i="7"/>
  <c r="M843" i="7" s="1"/>
  <c r="L842" i="7"/>
  <c r="L841" i="7"/>
  <c r="L840" i="7"/>
  <c r="M840" i="7" s="1"/>
  <c r="L839" i="7"/>
  <c r="M839" i="7" s="1"/>
  <c r="L809" i="7"/>
  <c r="M809" i="7" s="1"/>
  <c r="L808" i="7"/>
  <c r="M808" i="7" s="1"/>
  <c r="L807" i="7"/>
  <c r="M807" i="7" s="1"/>
  <c r="L806" i="7"/>
  <c r="M806" i="7" s="1"/>
  <c r="L805" i="7"/>
  <c r="M805" i="7" s="1"/>
  <c r="L804" i="7"/>
  <c r="L803" i="7"/>
  <c r="M803" i="7" s="1"/>
  <c r="L802" i="7"/>
  <c r="M802" i="7" s="1"/>
  <c r="L800" i="7"/>
  <c r="M800" i="7" s="1"/>
  <c r="L799" i="7"/>
  <c r="M799" i="7" s="1"/>
  <c r="L798" i="7"/>
  <c r="M798" i="7" s="1"/>
  <c r="L797" i="7"/>
  <c r="L796" i="7"/>
  <c r="L795" i="7"/>
  <c r="L794" i="7"/>
  <c r="M794" i="7" s="1"/>
  <c r="L792" i="7"/>
  <c r="M792" i="7" s="1"/>
  <c r="L791" i="7"/>
  <c r="M791" i="7" s="1"/>
  <c r="L790" i="7"/>
  <c r="L789" i="7"/>
  <c r="M789" i="7" s="1"/>
  <c r="L788" i="7"/>
  <c r="L787" i="7"/>
  <c r="M787" i="7" s="1"/>
  <c r="L786" i="7"/>
  <c r="M786" i="7" s="1"/>
  <c r="L785" i="7"/>
  <c r="M785" i="7" s="1"/>
  <c r="L784" i="7"/>
  <c r="M784" i="7" s="1"/>
  <c r="L782" i="7"/>
  <c r="M782" i="7" s="1"/>
  <c r="L781" i="7"/>
  <c r="M781" i="7" s="1"/>
  <c r="L780" i="7"/>
  <c r="M780" i="7" s="1"/>
  <c r="L779" i="7"/>
  <c r="L778" i="7"/>
  <c r="M778" i="7" s="1"/>
  <c r="L777" i="7"/>
  <c r="M777" i="7" s="1"/>
  <c r="L776" i="7"/>
  <c r="L744" i="7"/>
  <c r="M744" i="7" s="1"/>
  <c r="L743" i="7"/>
  <c r="M743" i="7" s="1"/>
  <c r="L742" i="7"/>
  <c r="M742" i="7" s="1"/>
  <c r="L741" i="7"/>
  <c r="M741" i="7" s="1"/>
  <c r="L740" i="7"/>
  <c r="M740" i="7" s="1"/>
  <c r="L739" i="7"/>
  <c r="M739" i="7" s="1"/>
  <c r="L738" i="7"/>
  <c r="M738" i="7" s="1"/>
  <c r="L737" i="7"/>
  <c r="M737" i="7" s="1"/>
  <c r="L736" i="7"/>
  <c r="L735" i="7"/>
  <c r="M735" i="7" s="1"/>
  <c r="L734" i="7"/>
  <c r="M734" i="7" s="1"/>
  <c r="L733" i="7"/>
  <c r="M733" i="7" s="1"/>
  <c r="L732" i="7"/>
  <c r="L731" i="7"/>
  <c r="M731" i="7" s="1"/>
  <c r="L730" i="7"/>
  <c r="M730" i="7" s="1"/>
  <c r="L729" i="7"/>
  <c r="L727" i="7"/>
  <c r="M727" i="7" s="1"/>
  <c r="L687" i="7"/>
  <c r="L686" i="7"/>
  <c r="L685" i="7"/>
  <c r="M685" i="7" s="1"/>
  <c r="L683" i="7"/>
  <c r="M683" i="7" s="1"/>
  <c r="L682" i="7"/>
  <c r="L681" i="7"/>
  <c r="M681" i="7" s="1"/>
  <c r="L680" i="7"/>
  <c r="M680" i="7" s="1"/>
  <c r="L677" i="7"/>
  <c r="M677" i="7" s="1"/>
  <c r="L676" i="7"/>
  <c r="M676" i="7" s="1"/>
  <c r="L673" i="7"/>
  <c r="M673" i="7" s="1"/>
  <c r="L672" i="7"/>
  <c r="M672" i="7" s="1"/>
  <c r="L671" i="7"/>
  <c r="M671" i="7" s="1"/>
  <c r="L669" i="7"/>
  <c r="M669" i="7" s="1"/>
  <c r="L667" i="7"/>
  <c r="L664" i="7"/>
  <c r="M664" i="7" s="1"/>
  <c r="L663" i="7"/>
  <c r="M663" i="7" s="1"/>
  <c r="L662" i="7"/>
  <c r="L660" i="7"/>
  <c r="M660" i="7" s="1"/>
  <c r="L659" i="7"/>
  <c r="M659" i="7" s="1"/>
  <c r="L646" i="7"/>
  <c r="M646" i="7" s="1"/>
  <c r="L645" i="7"/>
  <c r="L644" i="7"/>
  <c r="M644" i="7" s="1"/>
  <c r="L642" i="7"/>
  <c r="L641" i="7"/>
  <c r="M641" i="7" s="1"/>
  <c r="L639" i="7"/>
  <c r="L638" i="7"/>
  <c r="L637" i="7"/>
  <c r="M637" i="7" s="1"/>
  <c r="L636" i="7"/>
  <c r="M636" i="7" s="1"/>
  <c r="L632" i="7"/>
  <c r="M632" i="7" s="1"/>
  <c r="L631" i="7"/>
  <c r="L627" i="7"/>
  <c r="L625" i="7"/>
  <c r="M625" i="7" s="1"/>
  <c r="L622" i="7"/>
  <c r="M622" i="7" s="1"/>
  <c r="L597" i="7"/>
  <c r="L596" i="7"/>
  <c r="M596" i="7" s="1"/>
  <c r="L595" i="7"/>
  <c r="M595" i="7" s="1"/>
  <c r="L594" i="7"/>
  <c r="L593" i="7"/>
  <c r="L592" i="7"/>
  <c r="M592" i="7" s="1"/>
  <c r="L591" i="7"/>
  <c r="M591" i="7" s="1"/>
  <c r="L590" i="7"/>
  <c r="L589" i="7"/>
  <c r="L588" i="7"/>
  <c r="M588" i="7" s="1"/>
  <c r="L587" i="7"/>
  <c r="M587" i="7" s="1"/>
  <c r="L586" i="7"/>
  <c r="L585" i="7"/>
  <c r="L582" i="7"/>
  <c r="M582" i="7" s="1"/>
  <c r="L581" i="7"/>
  <c r="L580" i="7"/>
  <c r="L579" i="7"/>
  <c r="M579" i="7" s="1"/>
  <c r="L578" i="7"/>
  <c r="L577" i="7"/>
  <c r="L572" i="7"/>
  <c r="L573" i="7"/>
  <c r="M573" i="7" s="1"/>
  <c r="L558" i="7"/>
  <c r="L557" i="7"/>
  <c r="L555" i="7"/>
  <c r="M555" i="7" s="1"/>
  <c r="L554" i="7"/>
  <c r="L552" i="7"/>
  <c r="M552" i="7" s="1"/>
  <c r="L551" i="7"/>
  <c r="M551" i="7" s="1"/>
  <c r="L550" i="7"/>
  <c r="L549" i="7"/>
  <c r="L548" i="7"/>
  <c r="L547" i="7"/>
  <c r="M547" i="7" s="1"/>
  <c r="L546" i="7"/>
  <c r="L545" i="7"/>
  <c r="L544" i="7"/>
  <c r="M544" i="7" s="1"/>
  <c r="L543" i="7"/>
  <c r="M543" i="7" s="1"/>
  <c r="L542" i="7"/>
  <c r="L541" i="7"/>
  <c r="L540" i="7"/>
  <c r="M540" i="7" s="1"/>
  <c r="L539" i="7"/>
  <c r="M539" i="7" s="1"/>
  <c r="L538" i="7"/>
  <c r="L537" i="7"/>
  <c r="L536" i="7"/>
  <c r="L535" i="7"/>
  <c r="M535" i="7" s="1"/>
  <c r="L534" i="7"/>
  <c r="L532" i="7"/>
  <c r="L530" i="7"/>
  <c r="M530" i="7" s="1"/>
  <c r="L529" i="7"/>
  <c r="M529" i="7" s="1"/>
  <c r="L528" i="7"/>
  <c r="L527" i="7"/>
  <c r="M527" i="7" s="1"/>
  <c r="L526" i="7"/>
  <c r="L525" i="7"/>
  <c r="M525" i="7" s="1"/>
  <c r="L531" i="7"/>
  <c r="M531" i="7" s="1"/>
  <c r="L524" i="7"/>
  <c r="L523" i="7"/>
  <c r="M523" i="7" s="1"/>
  <c r="L522" i="7"/>
  <c r="L520" i="7" s="1"/>
  <c r="L521" i="7"/>
  <c r="L493" i="7"/>
  <c r="L492" i="7"/>
  <c r="M492" i="7" s="1"/>
  <c r="L491" i="7"/>
  <c r="M491" i="7" s="1"/>
  <c r="L489" i="7"/>
  <c r="L488" i="7"/>
  <c r="L487" i="7"/>
  <c r="M487" i="7" s="1"/>
  <c r="L486" i="7"/>
  <c r="M486" i="7" s="1"/>
  <c r="L484" i="7"/>
  <c r="M484" i="7" s="1"/>
  <c r="L483" i="7"/>
  <c r="M483" i="7" s="1"/>
  <c r="L482" i="7"/>
  <c r="L481" i="7"/>
  <c r="L480" i="7"/>
  <c r="L478" i="7"/>
  <c r="M478" i="7" s="1"/>
  <c r="L477" i="7"/>
  <c r="L476" i="7"/>
  <c r="L475" i="7"/>
  <c r="L474" i="7"/>
  <c r="M474" i="7" s="1"/>
  <c r="L473" i="7"/>
  <c r="L432" i="7"/>
  <c r="L430" i="7"/>
  <c r="L429" i="7"/>
  <c r="L428" i="7"/>
  <c r="M428" i="7" s="1"/>
  <c r="L426" i="7"/>
  <c r="M426" i="7" s="1"/>
  <c r="L424" i="7"/>
  <c r="M424" i="7" s="1"/>
  <c r="L423" i="7"/>
  <c r="L422" i="7"/>
  <c r="L421" i="7"/>
  <c r="M421" i="7" s="1"/>
  <c r="L420" i="7"/>
  <c r="M420" i="7" s="1"/>
  <c r="L419" i="7"/>
  <c r="M419" i="7" s="1"/>
  <c r="L417" i="7"/>
  <c r="M417" i="7" s="1"/>
  <c r="L416" i="7"/>
  <c r="M416" i="7" s="1"/>
  <c r="L414" i="7"/>
  <c r="L413" i="7"/>
  <c r="L411" i="7"/>
  <c r="M411" i="7" s="1"/>
  <c r="L410" i="7"/>
  <c r="L409" i="7"/>
  <c r="L408" i="7"/>
  <c r="L407" i="7"/>
  <c r="M407" i="7" s="1"/>
  <c r="L396" i="7"/>
  <c r="M396" i="7" s="1"/>
  <c r="L395" i="7"/>
  <c r="M395" i="7" s="1"/>
  <c r="L394" i="7"/>
  <c r="L393" i="7"/>
  <c r="L392" i="7"/>
  <c r="M392" i="7" s="1"/>
  <c r="L391" i="7"/>
  <c r="M391" i="7" s="1"/>
  <c r="L390" i="7"/>
  <c r="L389" i="7"/>
  <c r="M389" i="7" s="1"/>
  <c r="L388" i="7"/>
  <c r="M388" i="7" s="1"/>
  <c r="L387" i="7"/>
  <c r="M387" i="7" s="1"/>
  <c r="L386" i="7"/>
  <c r="L384" i="7"/>
  <c r="M384" i="7" s="1"/>
  <c r="L382" i="7"/>
  <c r="M382" i="7" s="1"/>
  <c r="L381" i="7"/>
  <c r="L380" i="7"/>
  <c r="L379" i="7"/>
  <c r="M379" i="7" s="1"/>
  <c r="L378" i="7"/>
  <c r="L328" i="7"/>
  <c r="M328" i="7" s="1"/>
  <c r="L327" i="7"/>
  <c r="L326" i="7"/>
  <c r="L325" i="7"/>
  <c r="M325" i="7" s="1"/>
  <c r="L324" i="7"/>
  <c r="M324" i="7" s="1"/>
  <c r="L323" i="7"/>
  <c r="L322" i="7"/>
  <c r="L321" i="7"/>
  <c r="M321" i="7" s="1"/>
  <c r="L320" i="7"/>
  <c r="M320" i="7" s="1"/>
  <c r="L318" i="7"/>
  <c r="L317" i="7"/>
  <c r="M317" i="7" s="1"/>
  <c r="L316" i="7"/>
  <c r="M316" i="7" s="1"/>
  <c r="L315" i="7"/>
  <c r="L314" i="7"/>
  <c r="L313" i="7"/>
  <c r="M313" i="7" s="1"/>
  <c r="L312" i="7"/>
  <c r="M312" i="7" s="1"/>
  <c r="L311" i="7"/>
  <c r="L310" i="7"/>
  <c r="L309" i="7"/>
  <c r="M309" i="7" s="1"/>
  <c r="L308" i="7"/>
  <c r="M308" i="7" s="1"/>
  <c r="L307" i="7"/>
  <c r="L306" i="7"/>
  <c r="L304" i="7"/>
  <c r="M304" i="7" s="1"/>
  <c r="L303" i="7"/>
  <c r="M303" i="7" s="1"/>
  <c r="L302" i="7"/>
  <c r="L301" i="7"/>
  <c r="L300" i="7"/>
  <c r="L299" i="7" s="1"/>
  <c r="L286" i="7"/>
  <c r="L281" i="7"/>
  <c r="L280" i="7"/>
  <c r="M280" i="7" s="1"/>
  <c r="L278" i="7"/>
  <c r="L277" i="7"/>
  <c r="L276" i="7"/>
  <c r="M276" i="7" s="1"/>
  <c r="L275" i="7"/>
  <c r="M275" i="7" s="1"/>
  <c r="L274" i="7"/>
  <c r="L273" i="7"/>
  <c r="M273" i="7" s="1"/>
  <c r="L272" i="7"/>
  <c r="M272" i="7" s="1"/>
  <c r="L271" i="7"/>
  <c r="L262" i="7"/>
  <c r="M262" i="7" s="1"/>
  <c r="L261" i="7"/>
  <c r="M261" i="7" s="1"/>
  <c r="L260" i="7"/>
  <c r="L258" i="7"/>
  <c r="M258" i="7" s="1"/>
  <c r="L255" i="7"/>
  <c r="M255" i="7" s="1"/>
  <c r="L251" i="7"/>
  <c r="M251" i="7" s="1"/>
  <c r="L249" i="7"/>
  <c r="L248" i="7"/>
  <c r="L247" i="7"/>
  <c r="L244" i="7"/>
  <c r="L243" i="7"/>
  <c r="M243" i="7" s="1"/>
  <c r="L242" i="7"/>
  <c r="M242" i="7" s="1"/>
  <c r="L180" i="7"/>
  <c r="L178" i="7"/>
  <c r="M178" i="7" s="1"/>
  <c r="L177" i="7"/>
  <c r="L176" i="7"/>
  <c r="M176" i="7" s="1"/>
  <c r="L175" i="7"/>
  <c r="L174" i="7"/>
  <c r="M174" i="7" s="1"/>
  <c r="L173" i="7"/>
  <c r="L172" i="7"/>
  <c r="L171" i="7"/>
  <c r="L170" i="7"/>
  <c r="M170" i="7" s="1"/>
  <c r="L169" i="7"/>
  <c r="L168" i="7"/>
  <c r="L167" i="7"/>
  <c r="L166" i="7"/>
  <c r="M166" i="7" s="1"/>
  <c r="L165" i="7"/>
  <c r="L164" i="7"/>
  <c r="L163" i="7"/>
  <c r="L162" i="7"/>
  <c r="M162" i="7" s="1"/>
  <c r="L161" i="7"/>
  <c r="L160" i="7"/>
  <c r="L157" i="7"/>
  <c r="L156" i="7"/>
  <c r="M156" i="7" s="1"/>
  <c r="L155" i="7"/>
  <c r="M155" i="7" s="1"/>
  <c r="L154" i="7"/>
  <c r="M154" i="7" s="1"/>
  <c r="L153" i="7"/>
  <c r="L152" i="7"/>
  <c r="M152" i="7" s="1"/>
  <c r="L151" i="7"/>
  <c r="M151" i="7" s="1"/>
  <c r="L150" i="7"/>
  <c r="L148" i="7"/>
  <c r="M148" i="7" s="1"/>
  <c r="L147" i="7"/>
  <c r="M147" i="7" s="1"/>
  <c r="L146" i="7"/>
  <c r="M146" i="7" s="1"/>
  <c r="L145" i="7"/>
  <c r="L100" i="7"/>
  <c r="M100" i="7" s="1"/>
  <c r="L98" i="7"/>
  <c r="M98" i="7" s="1"/>
  <c r="L97" i="7"/>
  <c r="L93" i="7"/>
  <c r="L91" i="7"/>
  <c r="M91" i="7" s="1"/>
  <c r="L90" i="7"/>
  <c r="M90" i="7" s="1"/>
  <c r="L89" i="7"/>
  <c r="L88" i="7"/>
  <c r="M88" i="7" s="1"/>
  <c r="L86" i="7"/>
  <c r="M86" i="7" s="1"/>
  <c r="L85" i="7"/>
  <c r="M85" i="7" s="1"/>
  <c r="L83" i="7"/>
  <c r="M83" i="7" s="1"/>
  <c r="L82" i="7"/>
  <c r="L80" i="7"/>
  <c r="L41" i="7"/>
  <c r="M41" i="7" s="1"/>
  <c r="L40" i="7"/>
  <c r="L39" i="7"/>
  <c r="L38" i="7"/>
  <c r="L37" i="7"/>
  <c r="M37" i="7" s="1"/>
  <c r="L36" i="7"/>
  <c r="L35" i="7"/>
  <c r="L34" i="7"/>
  <c r="L33" i="7"/>
  <c r="M33" i="7" s="1"/>
  <c r="L32" i="7"/>
  <c r="M32" i="7" s="1"/>
  <c r="L31" i="7"/>
  <c r="L30" i="7"/>
  <c r="L29" i="7"/>
  <c r="M29" i="7" s="1"/>
  <c r="L28" i="7"/>
  <c r="M28" i="7" s="1"/>
  <c r="L27" i="7"/>
  <c r="L26" i="7"/>
  <c r="L25" i="7"/>
  <c r="M25" i="7" s="1"/>
  <c r="L24" i="7"/>
  <c r="M24" i="7" s="1"/>
  <c r="L23" i="7"/>
  <c r="M23" i="7" s="1"/>
  <c r="L22" i="7"/>
  <c r="L21" i="7"/>
  <c r="M21" i="7" s="1"/>
  <c r="L19" i="7"/>
  <c r="L18" i="7"/>
  <c r="L17" i="7"/>
  <c r="M17" i="7" s="1"/>
  <c r="L16" i="7"/>
  <c r="M16" i="7" s="1"/>
  <c r="L15" i="7"/>
  <c r="M15" i="7" s="1"/>
  <c r="L13" i="7"/>
  <c r="L12" i="7"/>
  <c r="M12" i="7" s="1"/>
  <c r="L11" i="7"/>
  <c r="M11" i="7" s="1"/>
  <c r="L10" i="7"/>
  <c r="M10" i="7" s="1"/>
  <c r="L9" i="7"/>
  <c r="L8" i="7"/>
  <c r="M8" i="7" s="1"/>
  <c r="M175" i="7"/>
  <c r="M40" i="7"/>
  <c r="M301" i="7"/>
  <c r="M36" i="7"/>
  <c r="M82" i="7"/>
  <c r="M380" i="7"/>
  <c r="M393" i="7"/>
  <c r="M409" i="7"/>
  <c r="M423" i="7"/>
  <c r="M729" i="7"/>
  <c r="M981" i="7"/>
  <c r="M985" i="7"/>
  <c r="M1042" i="7"/>
  <c r="M1090" i="7"/>
  <c r="M1112" i="7"/>
  <c r="M1120" i="7"/>
  <c r="M1140" i="7"/>
  <c r="M1145" i="7"/>
  <c r="M1153" i="7"/>
  <c r="M1157" i="7"/>
  <c r="M1161" i="7"/>
  <c r="M1212" i="7"/>
  <c r="M1277" i="7"/>
  <c r="M1375" i="7"/>
  <c r="M286" i="7"/>
  <c r="M381" i="7"/>
  <c r="M408" i="7"/>
  <c r="M432" i="7"/>
  <c r="M536" i="7"/>
  <c r="M548" i="7"/>
  <c r="M667" i="7"/>
  <c r="M732" i="7"/>
  <c r="M736" i="7"/>
  <c r="M779" i="7"/>
  <c r="M788" i="7"/>
  <c r="M796" i="7"/>
  <c r="M804" i="7"/>
  <c r="M841" i="7"/>
  <c r="M850" i="7"/>
  <c r="M865" i="7"/>
  <c r="M869" i="7"/>
  <c r="M926" i="7"/>
  <c r="M967" i="7"/>
  <c r="M980" i="7"/>
  <c r="M988" i="7"/>
  <c r="M1029" i="7"/>
  <c r="M1098" i="7"/>
  <c r="M1106" i="7"/>
  <c r="M1148" i="7"/>
  <c r="M1206" i="7"/>
  <c r="M1382" i="7"/>
  <c r="M475" i="7"/>
  <c r="M488" i="7"/>
  <c r="M666" i="7"/>
  <c r="M795" i="7"/>
  <c r="M864" i="7"/>
  <c r="M987" i="7"/>
  <c r="M1024" i="7"/>
  <c r="M1040" i="7"/>
  <c r="M1101" i="7"/>
  <c r="M1151" i="7"/>
  <c r="M1330" i="7"/>
  <c r="M1381" i="7"/>
  <c r="M31" i="7"/>
  <c r="M39" i="7"/>
  <c r="M150" i="7"/>
  <c r="M164" i="7"/>
  <c r="M168" i="7"/>
  <c r="M172" i="7"/>
  <c r="M180" i="7"/>
  <c r="M247" i="7"/>
  <c r="M546" i="7"/>
  <c r="M639" i="7"/>
  <c r="M790" i="7"/>
  <c r="M855" i="7"/>
  <c r="M932" i="7"/>
  <c r="M1150" i="7"/>
  <c r="M1195" i="7"/>
  <c r="M1200" i="7"/>
  <c r="M1214" i="7"/>
  <c r="M1218" i="7"/>
  <c r="M1278" i="7"/>
  <c r="M1376" i="7"/>
  <c r="M160" i="7"/>
  <c r="M846" i="7"/>
  <c r="M378" i="7"/>
  <c r="M1368" i="7"/>
  <c r="M480" i="7"/>
  <c r="M572" i="7"/>
  <c r="M1144" i="7"/>
  <c r="M26" i="7" l="1"/>
  <c r="M38" i="7"/>
  <c r="M153" i="7"/>
  <c r="M326" i="7"/>
  <c r="M477" i="7"/>
  <c r="M482" i="7"/>
  <c r="M558" i="7"/>
  <c r="M578" i="7"/>
  <c r="M642" i="7"/>
  <c r="M47" i="7"/>
  <c r="M51" i="7"/>
  <c r="M55" i="7"/>
  <c r="M59" i="7"/>
  <c r="M63" i="7"/>
  <c r="M675" i="7"/>
  <c r="M67" i="7"/>
  <c r="M71" i="7"/>
  <c r="M123" i="7"/>
  <c r="M199" i="7"/>
  <c r="M203" i="7"/>
  <c r="M215" i="7"/>
  <c r="M219" i="7"/>
  <c r="M223" i="7"/>
  <c r="M692" i="7"/>
  <c r="M704" i="7"/>
  <c r="M490" i="7"/>
  <c r="M691" i="7"/>
  <c r="M481" i="7"/>
  <c r="M342" i="7"/>
  <c r="M234" i="7"/>
  <c r="M9" i="7"/>
  <c r="M13" i="7"/>
  <c r="M18" i="7"/>
  <c r="M93" i="7"/>
  <c r="M145" i="7"/>
  <c r="M248" i="7"/>
  <c r="M314" i="7"/>
  <c r="M386" i="7"/>
  <c r="M394" i="7"/>
  <c r="M429" i="7"/>
  <c r="M554" i="7"/>
  <c r="M585" i="7"/>
  <c r="M589" i="7"/>
  <c r="M593" i="7"/>
  <c r="M597" i="7"/>
  <c r="M638" i="7"/>
  <c r="M686" i="7"/>
  <c r="L287" i="7"/>
  <c r="M679" i="7"/>
  <c r="M256" i="7"/>
  <c r="M111" i="7"/>
  <c r="M399" i="7"/>
  <c r="M403" i="7"/>
  <c r="M22" i="7"/>
  <c r="M34" i="7"/>
  <c r="M157" i="7"/>
  <c r="M278" i="7"/>
  <c r="M322" i="7"/>
  <c r="M422" i="7"/>
  <c r="M473" i="7"/>
  <c r="M700" i="7"/>
  <c r="M94" i="7"/>
  <c r="M89" i="7"/>
  <c r="M165" i="7"/>
  <c r="M169" i="7"/>
  <c r="M173" i="7"/>
  <c r="M177" i="7"/>
  <c r="M249" i="7"/>
  <c r="M281" i="7"/>
  <c r="M414" i="7"/>
  <c r="M430" i="7"/>
  <c r="M521" i="7"/>
  <c r="M528" i="7"/>
  <c r="M534" i="7"/>
  <c r="M542" i="7"/>
  <c r="M550" i="7"/>
  <c r="M586" i="7"/>
  <c r="M590" i="7"/>
  <c r="M594" i="7"/>
  <c r="M687" i="7"/>
  <c r="M294" i="7"/>
  <c r="M331" i="7"/>
  <c r="M350" i="7"/>
  <c r="M354" i="7"/>
  <c r="M363" i="7"/>
  <c r="M367" i="7"/>
  <c r="M371" i="7"/>
  <c r="M434" i="7"/>
  <c r="M438" i="7"/>
  <c r="M442" i="7"/>
  <c r="M446" i="7"/>
  <c r="M450" i="7"/>
  <c r="M458" i="7"/>
  <c r="M462" i="7"/>
  <c r="M466" i="7"/>
  <c r="M498" i="7"/>
  <c r="M510" i="7"/>
  <c r="M602" i="7"/>
  <c r="M610" i="7"/>
  <c r="M359" i="7"/>
  <c r="M374" i="7"/>
  <c r="M678" i="7"/>
  <c r="M282" i="7"/>
  <c r="M418" i="7"/>
  <c r="M553" i="7"/>
  <c r="M724" i="7"/>
  <c r="L79" i="7"/>
  <c r="L385" i="7"/>
  <c r="M385" i="7" s="1"/>
  <c r="L556" i="7"/>
  <c r="M556" i="7" s="1"/>
  <c r="M1115" i="7"/>
  <c r="M1119" i="7"/>
  <c r="M1194" i="7"/>
  <c r="M1199" i="7"/>
  <c r="M1207" i="7"/>
  <c r="M1331" i="7"/>
  <c r="J1019" i="7"/>
  <c r="K836" i="7"/>
  <c r="M940" i="7"/>
  <c r="M948" i="7"/>
  <c r="M956" i="7"/>
  <c r="M996" i="7"/>
  <c r="M1000" i="7"/>
  <c r="M1004" i="7"/>
  <c r="M1008" i="7"/>
  <c r="M1012" i="7"/>
  <c r="M1016" i="7"/>
  <c r="M1292" i="7"/>
  <c r="M1296" i="7"/>
  <c r="M1300" i="7"/>
  <c r="M1304" i="7"/>
  <c r="L1318" i="7"/>
  <c r="M522" i="7"/>
  <c r="L149" i="7"/>
  <c r="M149" i="7" s="1"/>
  <c r="M244" i="7"/>
  <c r="M277" i="7"/>
  <c r="M476" i="7"/>
  <c r="M493" i="7"/>
  <c r="M524" i="7"/>
  <c r="M537" i="7"/>
  <c r="M545" i="7"/>
  <c r="M549" i="7"/>
  <c r="M557" i="7"/>
  <c r="M577" i="7"/>
  <c r="M581" i="7"/>
  <c r="L634" i="7"/>
  <c r="M634" i="7" s="1"/>
  <c r="L793" i="7"/>
  <c r="M793" i="7" s="1"/>
  <c r="L847" i="7"/>
  <c r="M847" i="7" s="1"/>
  <c r="M919" i="7"/>
  <c r="M927" i="7"/>
  <c r="M979" i="7"/>
  <c r="M983" i="7"/>
  <c r="M1099" i="7"/>
  <c r="M1327" i="7"/>
  <c r="M66" i="7"/>
  <c r="M70" i="7"/>
  <c r="M122" i="7"/>
  <c r="M134" i="7"/>
  <c r="M138" i="7"/>
  <c r="M198" i="7"/>
  <c r="M206" i="7"/>
  <c r="M210" i="7"/>
  <c r="M214" i="7"/>
  <c r="M222" i="7"/>
  <c r="M226" i="7"/>
  <c r="M230" i="7"/>
  <c r="M695" i="7"/>
  <c r="M703" i="7"/>
  <c r="M1052" i="7"/>
  <c r="M1056" i="7"/>
  <c r="M1060" i="7"/>
  <c r="M1064" i="7"/>
  <c r="M1068" i="7"/>
  <c r="M1072" i="7"/>
  <c r="M1076" i="7"/>
  <c r="M1080" i="7"/>
  <c r="M1232" i="7"/>
  <c r="M1248" i="7"/>
  <c r="M1301" i="7"/>
  <c r="L831" i="7"/>
  <c r="J810" i="7"/>
  <c r="M909" i="7"/>
  <c r="M854" i="7"/>
  <c r="L1095" i="7"/>
  <c r="L1191" i="7"/>
  <c r="M1215" i="7"/>
  <c r="L1266" i="7"/>
  <c r="M1266" i="7" s="1"/>
  <c r="M1275" i="7"/>
  <c r="M1279" i="7"/>
  <c r="M1387" i="7"/>
  <c r="M562" i="7"/>
  <c r="M827" i="7"/>
  <c r="M872" i="7"/>
  <c r="M876" i="7"/>
  <c r="M880" i="7"/>
  <c r="M884" i="7"/>
  <c r="M888" i="7"/>
  <c r="M892" i="7"/>
  <c r="M896" i="7"/>
  <c r="M900" i="7"/>
  <c r="M1352" i="7"/>
  <c r="M1256" i="7"/>
  <c r="M1356" i="7"/>
  <c r="G142" i="7"/>
  <c r="K297" i="7"/>
  <c r="K404" i="7"/>
  <c r="K518" i="7"/>
  <c r="K911" i="7"/>
  <c r="K1136" i="7"/>
  <c r="K1259" i="7"/>
  <c r="M102" i="7"/>
  <c r="M293" i="7"/>
  <c r="M330" i="7"/>
  <c r="M349" i="7"/>
  <c r="M353" i="7"/>
  <c r="M357" i="7"/>
  <c r="M362" i="7"/>
  <c r="M366" i="7"/>
  <c r="M437" i="7"/>
  <c r="M441" i="7"/>
  <c r="M445" i="7"/>
  <c r="M449" i="7"/>
  <c r="M453" i="7"/>
  <c r="M457" i="7"/>
  <c r="M461" i="7"/>
  <c r="M465" i="7"/>
  <c r="M501" i="7"/>
  <c r="M505" i="7"/>
  <c r="M650" i="7"/>
  <c r="M714" i="7"/>
  <c r="M1337" i="7"/>
  <c r="M1400" i="7"/>
  <c r="J479" i="7"/>
  <c r="J470" i="7" s="1"/>
  <c r="J1044" i="7"/>
  <c r="M237" i="7"/>
  <c r="M469" i="7"/>
  <c r="M835" i="7"/>
  <c r="M1419" i="7"/>
  <c r="M1415" i="7"/>
  <c r="M1411" i="7"/>
  <c r="M1403" i="7"/>
  <c r="M1395" i="7"/>
  <c r="M1391" i="7"/>
  <c r="M1351" i="7"/>
  <c r="M1343" i="7"/>
  <c r="M1339" i="7"/>
  <c r="M1322" i="7"/>
  <c r="M1311" i="7"/>
  <c r="M1307" i="7"/>
  <c r="M1291" i="7"/>
  <c r="M1265" i="7"/>
  <c r="M1179" i="7"/>
  <c r="M1167" i="7"/>
  <c r="M1089" i="7"/>
  <c r="M1079" i="7"/>
  <c r="M1034" i="7"/>
  <c r="M1030" i="7"/>
  <c r="M1007" i="7"/>
  <c r="M1003" i="7"/>
  <c r="M999" i="7"/>
  <c r="M959" i="7"/>
  <c r="M955" i="7"/>
  <c r="M951" i="7"/>
  <c r="M939" i="7"/>
  <c r="M922" i="7"/>
  <c r="M526" i="7"/>
  <c r="M368" i="7"/>
  <c r="M360" i="7"/>
  <c r="M315" i="7"/>
  <c r="M307" i="7"/>
  <c r="M192" i="7"/>
  <c r="M179" i="7"/>
  <c r="M87" i="7"/>
  <c r="H5" i="7"/>
  <c r="H297" i="7"/>
  <c r="H518" i="7"/>
  <c r="M1397" i="7"/>
  <c r="M1401" i="7"/>
  <c r="M1405" i="7"/>
  <c r="M1409" i="7"/>
  <c r="M1413" i="7"/>
  <c r="M1417" i="7"/>
  <c r="M1421" i="7"/>
  <c r="M346" i="7"/>
  <c r="M96" i="7"/>
  <c r="L99" i="7"/>
  <c r="M99" i="7" s="1"/>
  <c r="M566" i="7"/>
  <c r="M834" i="7"/>
  <c r="M908" i="7"/>
  <c r="M904" i="7"/>
  <c r="H470" i="7"/>
  <c r="M271" i="7"/>
  <c r="L269" i="7"/>
  <c r="L918" i="7"/>
  <c r="I848" i="7"/>
  <c r="M848" i="7" s="1"/>
  <c r="H845" i="7"/>
  <c r="M80" i="7"/>
  <c r="L144" i="7"/>
  <c r="L7" i="7"/>
  <c r="M161" i="7"/>
  <c r="L158" i="7"/>
  <c r="M862" i="7"/>
  <c r="M866" i="7"/>
  <c r="L1088" i="7"/>
  <c r="L598" i="7"/>
  <c r="J576" i="7"/>
  <c r="L584" i="7"/>
  <c r="M584" i="7" s="1"/>
  <c r="J1390" i="7"/>
  <c r="I1333" i="7"/>
  <c r="K576" i="7"/>
  <c r="L583" i="7"/>
  <c r="M583" i="7" s="1"/>
  <c r="M1027" i="7"/>
  <c r="J142" i="7"/>
  <c r="H647" i="7"/>
  <c r="I655" i="7"/>
  <c r="M655" i="7" s="1"/>
  <c r="H836" i="7"/>
  <c r="M27" i="7"/>
  <c r="M95" i="7"/>
  <c r="M171" i="7"/>
  <c r="M853" i="7"/>
  <c r="M1025" i="7"/>
  <c r="M1093" i="7"/>
  <c r="M1102" i="7"/>
  <c r="M1110" i="7"/>
  <c r="M1286" i="7"/>
  <c r="J836" i="7"/>
  <c r="M104" i="7"/>
  <c r="M108" i="7"/>
  <c r="M112" i="7"/>
  <c r="M184" i="7"/>
  <c r="M336" i="7"/>
  <c r="M400" i="7"/>
  <c r="M564" i="7"/>
  <c r="M1047" i="7"/>
  <c r="M1051" i="7"/>
  <c r="M1055" i="7"/>
  <c r="M1067" i="7"/>
  <c r="M1071" i="7"/>
  <c r="M1075" i="7"/>
  <c r="M1083" i="7"/>
  <c r="M1299" i="7"/>
  <c r="J494" i="7"/>
  <c r="L514" i="7"/>
  <c r="M514" i="7" s="1"/>
  <c r="J433" i="7"/>
  <c r="L467" i="7"/>
  <c r="M467" i="7" s="1"/>
  <c r="M35" i="7"/>
  <c r="M163" i="7"/>
  <c r="M167" i="7"/>
  <c r="M323" i="7"/>
  <c r="M327" i="7"/>
  <c r="M302" i="7"/>
  <c r="M311" i="7"/>
  <c r="M427" i="7"/>
  <c r="M857" i="7"/>
  <c r="M917" i="7"/>
  <c r="M934" i="7"/>
  <c r="M1038" i="7"/>
  <c r="M1270" i="7"/>
  <c r="M1326" i="7"/>
  <c r="J238" i="7"/>
  <c r="J668" i="7"/>
  <c r="J1198" i="7"/>
  <c r="M1374" i="7"/>
  <c r="K1019" i="7"/>
  <c r="L647" i="7"/>
  <c r="M879" i="7"/>
  <c r="M883" i="7"/>
  <c r="M887" i="7"/>
  <c r="M891" i="7"/>
  <c r="M895" i="7"/>
  <c r="M899" i="7"/>
  <c r="L1084" i="7"/>
  <c r="M1084" i="7" s="1"/>
  <c r="M1131" i="7"/>
  <c r="M1135" i="7"/>
  <c r="L333" i="7"/>
  <c r="M333" i="7" s="1"/>
  <c r="J329" i="7"/>
  <c r="M903" i="7"/>
  <c r="M1359" i="7"/>
  <c r="J918" i="7"/>
  <c r="M1223" i="7"/>
  <c r="M1227" i="7"/>
  <c r="M1231" i="7"/>
  <c r="M1235" i="7"/>
  <c r="M1239" i="7"/>
  <c r="M1243" i="7"/>
  <c r="M1247" i="7"/>
  <c r="M1251" i="7"/>
  <c r="M516" i="7"/>
  <c r="M1427" i="7"/>
  <c r="M1163" i="7"/>
  <c r="M1183" i="7"/>
  <c r="M1347" i="7"/>
  <c r="M1402" i="7"/>
  <c r="M140" i="7"/>
  <c r="M236" i="7"/>
  <c r="M1426" i="7"/>
  <c r="K79" i="7"/>
  <c r="H1085" i="7"/>
  <c r="H1316" i="7"/>
  <c r="M72" i="7"/>
  <c r="K5" i="7"/>
  <c r="M332" i="7"/>
  <c r="M364" i="7"/>
  <c r="L406" i="7"/>
  <c r="L838" i="7"/>
  <c r="L1321" i="7"/>
  <c r="J656" i="7"/>
  <c r="J1085" i="7"/>
  <c r="K470" i="7"/>
  <c r="K612" i="7"/>
  <c r="J783" i="7"/>
  <c r="J1143" i="7"/>
  <c r="J1136" i="7" s="1"/>
  <c r="K963" i="7"/>
  <c r="K961" i="7" s="1"/>
  <c r="K377" i="7"/>
  <c r="K375" i="7" s="1"/>
  <c r="J412" i="7"/>
  <c r="J1321" i="7"/>
  <c r="G470" i="7"/>
  <c r="G612" i="7"/>
  <c r="M1420" i="7"/>
  <c r="M1412" i="7"/>
  <c r="M1404" i="7"/>
  <c r="M1396" i="7"/>
  <c r="M1371" i="7"/>
  <c r="M1348" i="7"/>
  <c r="M1340" i="7"/>
  <c r="I1318" i="7"/>
  <c r="M1318" i="7" s="1"/>
  <c r="M1237" i="7"/>
  <c r="M1221" i="7"/>
  <c r="M1177" i="7"/>
  <c r="M1129" i="7"/>
  <c r="I1087" i="7"/>
  <c r="M770" i="7"/>
  <c r="M750" i="7"/>
  <c r="M715" i="7"/>
  <c r="M707" i="7"/>
  <c r="M699" i="7"/>
  <c r="M607" i="7"/>
  <c r="I576" i="7"/>
  <c r="I79" i="7"/>
  <c r="M64" i="7"/>
  <c r="M19" i="7"/>
  <c r="H142" i="7"/>
  <c r="H404" i="7"/>
  <c r="H612" i="7"/>
  <c r="H656" i="7"/>
  <c r="H773" i="7"/>
  <c r="H961" i="7"/>
  <c r="H1189" i="7"/>
  <c r="H1259" i="7"/>
  <c r="M1262" i="7"/>
  <c r="M1096" i="7"/>
  <c r="M1192" i="7"/>
  <c r="M1022" i="7"/>
  <c r="L1138" i="7"/>
  <c r="L1362" i="7"/>
  <c r="L783" i="7"/>
  <c r="M410" i="7"/>
  <c r="M1323" i="7"/>
  <c r="L472" i="7"/>
  <c r="J612" i="7"/>
  <c r="M300" i="7"/>
  <c r="L377" i="7"/>
  <c r="L1143" i="7"/>
  <c r="L305" i="7"/>
  <c r="L412" i="7"/>
  <c r="M413" i="7"/>
  <c r="L479" i="7"/>
  <c r="L629" i="7"/>
  <c r="J1431" i="7"/>
  <c r="L397" i="7"/>
  <c r="J569" i="7"/>
  <c r="J375" i="7"/>
  <c r="J1189" i="7"/>
  <c r="I810" i="7"/>
  <c r="I689" i="7"/>
  <c r="I668" i="7"/>
  <c r="I472" i="7"/>
  <c r="I412" i="7"/>
  <c r="I287" i="7"/>
  <c r="M287" i="7" s="1"/>
  <c r="I269" i="7"/>
  <c r="I158" i="7"/>
  <c r="I142" i="7" s="1"/>
  <c r="I84" i="7"/>
  <c r="M211" i="7"/>
  <c r="M227" i="7"/>
  <c r="M503" i="7"/>
  <c r="M1169" i="7"/>
  <c r="M1173" i="7"/>
  <c r="M1181" i="7"/>
  <c r="M1185" i="7"/>
  <c r="M1257" i="7"/>
  <c r="M1253" i="7"/>
  <c r="G5" i="7"/>
  <c r="G77" i="7"/>
  <c r="G238" i="7"/>
  <c r="G297" i="7"/>
  <c r="G375" i="7"/>
  <c r="G518" i="7"/>
  <c r="G569" i="7"/>
  <c r="G656" i="7"/>
  <c r="G773" i="7"/>
  <c r="G911" i="7"/>
  <c r="G961" i="7"/>
  <c r="G1019" i="7"/>
  <c r="G1136" i="7"/>
  <c r="G1189" i="7"/>
  <c r="G1259" i="7"/>
  <c r="G1360" i="7"/>
  <c r="M1414" i="7"/>
  <c r="M1398" i="7"/>
  <c r="M1315" i="7"/>
  <c r="M1187" i="7"/>
  <c r="M1175" i="7"/>
  <c r="M828" i="7"/>
  <c r="M824" i="7"/>
  <c r="M513" i="7"/>
  <c r="M509" i="7"/>
  <c r="M497" i="7"/>
  <c r="M345" i="7"/>
  <c r="I299" i="7"/>
  <c r="M299" i="7" s="1"/>
  <c r="M289" i="7"/>
  <c r="M229" i="7"/>
  <c r="M213" i="7"/>
  <c r="M197" i="7"/>
  <c r="M183" i="7"/>
  <c r="M187" i="7"/>
  <c r="M191" i="7"/>
  <c r="M195" i="7"/>
  <c r="L689" i="7"/>
  <c r="M822" i="7"/>
  <c r="M826" i="7"/>
  <c r="M830" i="7"/>
  <c r="M941" i="7"/>
  <c r="M945" i="7"/>
  <c r="M949" i="7"/>
  <c r="M953" i="7"/>
  <c r="M957" i="7"/>
  <c r="M993" i="7"/>
  <c r="M997" i="7"/>
  <c r="M1001" i="7"/>
  <c r="M1005" i="7"/>
  <c r="M1009" i="7"/>
  <c r="M1013" i="7"/>
  <c r="M1017" i="7"/>
  <c r="M1309" i="7"/>
  <c r="M235" i="7"/>
  <c r="M515" i="7"/>
  <c r="M567" i="7"/>
  <c r="G404" i="7"/>
  <c r="G836" i="7"/>
  <c r="G1085" i="7"/>
  <c r="G1316" i="7"/>
  <c r="I1362" i="7"/>
  <c r="M1349" i="7"/>
  <c r="M1345" i="7"/>
  <c r="I1321" i="7"/>
  <c r="M1310" i="7"/>
  <c r="M1302" i="7"/>
  <c r="M1298" i="7"/>
  <c r="I1261" i="7"/>
  <c r="M1242" i="7"/>
  <c r="M1238" i="7"/>
  <c r="I1219" i="7"/>
  <c r="I1162" i="7"/>
  <c r="I1138" i="7"/>
  <c r="I1123" i="7"/>
  <c r="M1082" i="7"/>
  <c r="M1078" i="7"/>
  <c r="M1074" i="7"/>
  <c r="M1062" i="7"/>
  <c r="M1058" i="7"/>
  <c r="M1054" i="7"/>
  <c r="I1021" i="7"/>
  <c r="M1021" i="7" s="1"/>
  <c r="M1018" i="7"/>
  <c r="M1006" i="7"/>
  <c r="M1002" i="7"/>
  <c r="I963" i="7"/>
  <c r="I913" i="7"/>
  <c r="M890" i="7"/>
  <c r="M886" i="7"/>
  <c r="I838" i="7"/>
  <c r="M823" i="7"/>
  <c r="M815" i="7"/>
  <c r="M811" i="7"/>
  <c r="I658" i="7"/>
  <c r="I614" i="7"/>
  <c r="I571" i="7"/>
  <c r="I559" i="7"/>
  <c r="M512" i="7"/>
  <c r="M496" i="7"/>
  <c r="I397" i="7"/>
  <c r="I377" i="7"/>
  <c r="H77" i="7"/>
  <c r="H375" i="7"/>
  <c r="H569" i="7"/>
  <c r="H1136" i="7"/>
  <c r="H1360" i="7"/>
  <c r="M291" i="7"/>
  <c r="M295" i="7"/>
  <c r="M347" i="7"/>
  <c r="M435" i="7"/>
  <c r="M76" i="7"/>
  <c r="M905" i="7"/>
  <c r="M1424" i="7"/>
  <c r="J1316" i="7"/>
  <c r="H911" i="7"/>
  <c r="M748" i="7"/>
  <c r="L810" i="7"/>
  <c r="M810" i="7" s="1"/>
  <c r="M813" i="7"/>
  <c r="L871" i="7"/>
  <c r="M875" i="7"/>
  <c r="L935" i="7"/>
  <c r="M937" i="7"/>
  <c r="M1048" i="7"/>
  <c r="L1123" i="7"/>
  <c r="M1127" i="7"/>
  <c r="L1333" i="7"/>
  <c r="M1334" i="7"/>
  <c r="M1393" i="7"/>
  <c r="L1390" i="7"/>
  <c r="J14" i="7"/>
  <c r="L20" i="7"/>
  <c r="J559" i="7"/>
  <c r="J518" i="7" s="1"/>
  <c r="L565" i="7"/>
  <c r="M565" i="7" s="1"/>
  <c r="J84" i="7"/>
  <c r="L92" i="7"/>
  <c r="K668" i="7"/>
  <c r="L670" i="7"/>
  <c r="L574" i="7"/>
  <c r="K571" i="7"/>
  <c r="K569" i="7" s="1"/>
  <c r="J1367" i="7"/>
  <c r="J1360" i="7" s="1"/>
  <c r="L1378" i="7"/>
  <c r="K240" i="7"/>
  <c r="L263" i="7"/>
  <c r="M580" i="7"/>
  <c r="L614" i="7"/>
  <c r="M627" i="7"/>
  <c r="M662" i="7"/>
  <c r="L658" i="7"/>
  <c r="M776" i="7"/>
  <c r="L775" i="7"/>
  <c r="L845" i="7"/>
  <c r="L913" i="7"/>
  <c r="M914" i="7"/>
  <c r="L963" i="7"/>
  <c r="M964" i="7"/>
  <c r="M1201" i="7"/>
  <c r="L1198" i="7"/>
  <c r="M1271" i="7"/>
  <c r="L1268" i="7"/>
  <c r="M842" i="7"/>
  <c r="M43" i="7"/>
  <c r="J971" i="7"/>
  <c r="J961" i="7" s="1"/>
  <c r="L972" i="7"/>
  <c r="M339" i="7"/>
  <c r="G1429" i="7"/>
  <c r="K773" i="7"/>
  <c r="J305" i="7"/>
  <c r="L103" i="7"/>
  <c r="J101" i="7"/>
  <c r="J77" i="7" s="1"/>
  <c r="J1268" i="7"/>
  <c r="K658" i="7"/>
  <c r="M468" i="7"/>
  <c r="M182" i="7"/>
  <c r="L990" i="7"/>
  <c r="M992" i="7"/>
  <c r="M1126" i="7"/>
  <c r="L1162" i="7"/>
  <c r="M1165" i="7"/>
  <c r="L1219" i="7"/>
  <c r="M1230" i="7"/>
  <c r="M1246" i="7"/>
  <c r="J1289" i="7"/>
  <c r="L1306" i="7"/>
  <c r="M1306" i="7" s="1"/>
  <c r="M831" i="7"/>
  <c r="I990" i="7"/>
  <c r="I479" i="7"/>
  <c r="I240" i="7"/>
  <c r="I144" i="7"/>
  <c r="M144" i="7" s="1"/>
  <c r="I101" i="7"/>
  <c r="I77" i="7"/>
  <c r="I14" i="7"/>
  <c r="I1390" i="7"/>
  <c r="I1367" i="7"/>
  <c r="I1289" i="7"/>
  <c r="M1290" i="7"/>
  <c r="I1268" i="7"/>
  <c r="I1198" i="7"/>
  <c r="I1191" i="7"/>
  <c r="I1143" i="7"/>
  <c r="I1095" i="7"/>
  <c r="I1044" i="7"/>
  <c r="I1026" i="7"/>
  <c r="M1026" i="7" s="1"/>
  <c r="I971" i="7"/>
  <c r="I935" i="7"/>
  <c r="I918" i="7"/>
  <c r="I871" i="7"/>
  <c r="M874" i="7"/>
  <c r="I783" i="7"/>
  <c r="M783" i="7" s="1"/>
  <c r="I775" i="7"/>
  <c r="I647" i="7"/>
  <c r="M647" i="7" s="1"/>
  <c r="I629" i="7"/>
  <c r="I598" i="7"/>
  <c r="M598" i="7" s="1"/>
  <c r="I533" i="7"/>
  <c r="I520" i="7"/>
  <c r="I433" i="7"/>
  <c r="I329" i="7"/>
  <c r="I305" i="7"/>
  <c r="M1222" i="7"/>
  <c r="M648" i="7"/>
  <c r="L74" i="7"/>
  <c r="M74" i="7" s="1"/>
  <c r="J42" i="7"/>
  <c r="J935" i="7"/>
  <c r="M1357" i="7"/>
  <c r="I494" i="7"/>
  <c r="M105" i="7"/>
  <c r="M109" i="7"/>
  <c r="M767" i="7"/>
  <c r="M907" i="7"/>
  <c r="M1255" i="7"/>
  <c r="K84" i="7"/>
  <c r="K181" i="7"/>
  <c r="K1433" i="7" s="1"/>
  <c r="L196" i="7"/>
  <c r="M196" i="7" s="1"/>
  <c r="I406" i="7"/>
  <c r="I383" i="7"/>
  <c r="I181" i="7"/>
  <c r="I42" i="7"/>
  <c r="I7" i="7"/>
  <c r="M629" i="7" l="1"/>
  <c r="L559" i="7"/>
  <c r="M559" i="7" s="1"/>
  <c r="L533" i="7"/>
  <c r="J911" i="7"/>
  <c r="M479" i="7"/>
  <c r="J297" i="7"/>
  <c r="I656" i="7"/>
  <c r="L1044" i="7"/>
  <c r="L1019" i="7" s="1"/>
  <c r="I845" i="7"/>
  <c r="I836" i="7" s="1"/>
  <c r="M689" i="7"/>
  <c r="L1261" i="7"/>
  <c r="M79" i="7"/>
  <c r="J404" i="7"/>
  <c r="J773" i="7"/>
  <c r="L383" i="7"/>
  <c r="I1259" i="7"/>
  <c r="K656" i="7"/>
  <c r="M269" i="7"/>
  <c r="M406" i="7"/>
  <c r="M305" i="7"/>
  <c r="M533" i="7"/>
  <c r="I961" i="7"/>
  <c r="I238" i="7"/>
  <c r="M1219" i="7"/>
  <c r="L433" i="7"/>
  <c r="M433" i="7" s="1"/>
  <c r="L576" i="7"/>
  <c r="M576" i="7" s="1"/>
  <c r="M1261" i="7"/>
  <c r="I1316" i="7"/>
  <c r="L494" i="7"/>
  <c r="M494" i="7" s="1"/>
  <c r="L329" i="7"/>
  <c r="L297" i="7" s="1"/>
  <c r="M838" i="7"/>
  <c r="M158" i="7"/>
  <c r="M1088" i="7"/>
  <c r="L1087" i="7"/>
  <c r="M1087" i="7" s="1"/>
  <c r="L1289" i="7"/>
  <c r="L1259" i="7" s="1"/>
  <c r="L181" i="7"/>
  <c r="M181" i="7" s="1"/>
  <c r="I1360" i="7"/>
  <c r="I470" i="7"/>
  <c r="M472" i="7"/>
  <c r="M1362" i="7"/>
  <c r="M1321" i="7"/>
  <c r="M1268" i="7"/>
  <c r="M935" i="7"/>
  <c r="M383" i="7"/>
  <c r="I404" i="7"/>
  <c r="L42" i="7"/>
  <c r="M42" i="7" s="1"/>
  <c r="M412" i="7"/>
  <c r="L375" i="7"/>
  <c r="M377" i="7"/>
  <c r="M1138" i="7"/>
  <c r="M1143" i="7"/>
  <c r="M397" i="7"/>
  <c r="I612" i="7"/>
  <c r="I773" i="7"/>
  <c r="H1429" i="7"/>
  <c r="I1189" i="7"/>
  <c r="M1191" i="7"/>
  <c r="J1259" i="7"/>
  <c r="M614" i="7"/>
  <c r="L612" i="7"/>
  <c r="K238" i="7"/>
  <c r="K1431" i="7"/>
  <c r="M871" i="7"/>
  <c r="K1432" i="7"/>
  <c r="K77" i="7"/>
  <c r="J1433" i="7"/>
  <c r="I1433" i="7"/>
  <c r="L518" i="7"/>
  <c r="I375" i="7"/>
  <c r="L911" i="7"/>
  <c r="M913" i="7"/>
  <c r="M263" i="7"/>
  <c r="L240" i="7"/>
  <c r="M1390" i="7"/>
  <c r="M1123" i="7"/>
  <c r="L1085" i="7"/>
  <c r="K142" i="7"/>
  <c r="L836" i="7"/>
  <c r="L84" i="7"/>
  <c r="M92" i="7"/>
  <c r="M1044" i="7"/>
  <c r="I518" i="7"/>
  <c r="M520" i="7"/>
  <c r="I911" i="7"/>
  <c r="M918" i="7"/>
  <c r="M1289" i="7"/>
  <c r="M990" i="7"/>
  <c r="L971" i="7"/>
  <c r="M971" i="7" s="1"/>
  <c r="M972" i="7"/>
  <c r="M963" i="7"/>
  <c r="M658" i="7"/>
  <c r="L1367" i="7"/>
  <c r="M1378" i="7"/>
  <c r="L14" i="7"/>
  <c r="M20" i="7"/>
  <c r="L142" i="7"/>
  <c r="M142" i="7" s="1"/>
  <c r="M574" i="7"/>
  <c r="L571" i="7"/>
  <c r="I1431" i="7"/>
  <c r="I5" i="7"/>
  <c r="M7" i="7"/>
  <c r="I1019" i="7"/>
  <c r="I1085" i="7"/>
  <c r="M1095" i="7"/>
  <c r="I297" i="7"/>
  <c r="M1162" i="7"/>
  <c r="L1136" i="7"/>
  <c r="L470" i="7"/>
  <c r="M470" i="7" s="1"/>
  <c r="I569" i="7"/>
  <c r="M103" i="7"/>
  <c r="L101" i="7"/>
  <c r="M101" i="7" s="1"/>
  <c r="I1136" i="7"/>
  <c r="L1189" i="7"/>
  <c r="M1198" i="7"/>
  <c r="L773" i="7"/>
  <c r="M775" i="7"/>
  <c r="M670" i="7"/>
  <c r="L668" i="7"/>
  <c r="M668" i="7" s="1"/>
  <c r="J1432" i="7"/>
  <c r="J5" i="7"/>
  <c r="M1333" i="7"/>
  <c r="L1316" i="7"/>
  <c r="M329" i="7" l="1"/>
  <c r="M375" i="7"/>
  <c r="M1316" i="7"/>
  <c r="L404" i="7"/>
  <c r="M404" i="7" s="1"/>
  <c r="I1432" i="7"/>
  <c r="M1259" i="7"/>
  <c r="M1189" i="7"/>
  <c r="M845" i="7"/>
  <c r="J1429" i="7"/>
  <c r="J1437" i="7" s="1"/>
  <c r="M773" i="7"/>
  <c r="M1136" i="7"/>
  <c r="L961" i="7"/>
  <c r="M961" i="7" s="1"/>
  <c r="M911" i="7"/>
  <c r="M836" i="7"/>
  <c r="M612" i="7"/>
  <c r="I1429" i="7"/>
  <c r="I1437" i="7" s="1"/>
  <c r="L569" i="7"/>
  <c r="M569" i="7" s="1"/>
  <c r="M571" i="7"/>
  <c r="L1432" i="7"/>
  <c r="M14" i="7"/>
  <c r="L5" i="7"/>
  <c r="M1085" i="7"/>
  <c r="K1429" i="7"/>
  <c r="K1437" i="7" s="1"/>
  <c r="L1433" i="7"/>
  <c r="M1433" i="7" s="1"/>
  <c r="N103" i="7" s="1"/>
  <c r="L1360" i="7"/>
  <c r="M1360" i="7" s="1"/>
  <c r="M1367" i="7"/>
  <c r="M84" i="7"/>
  <c r="L77" i="7"/>
  <c r="M77" i="7" s="1"/>
  <c r="M297" i="7"/>
  <c r="L656" i="7"/>
  <c r="M656" i="7" s="1"/>
  <c r="M1019" i="7"/>
  <c r="L238" i="7"/>
  <c r="M238" i="7" s="1"/>
  <c r="M240" i="7"/>
  <c r="L1431" i="7"/>
  <c r="M518" i="7"/>
  <c r="M1432" i="7" l="1"/>
  <c r="N1378" i="7" s="1"/>
  <c r="J1435" i="7"/>
  <c r="N670" i="7"/>
  <c r="O670" i="7" s="1"/>
  <c r="N972" i="7"/>
  <c r="P972" i="7" s="1"/>
  <c r="N92" i="7"/>
  <c r="P92" i="7" s="1"/>
  <c r="O103" i="7"/>
  <c r="P103" i="7"/>
  <c r="P1378" i="7"/>
  <c r="O1378" i="7"/>
  <c r="L1429" i="7"/>
  <c r="L1435" i="7" s="1"/>
  <c r="M5" i="7"/>
  <c r="N469" i="7"/>
  <c r="N960" i="7"/>
  <c r="N723" i="7"/>
  <c r="N1258" i="7"/>
  <c r="N141" i="7"/>
  <c r="N1018" i="7"/>
  <c r="N236" i="7"/>
  <c r="N835" i="7"/>
  <c r="N515" i="7"/>
  <c r="N909" i="7"/>
  <c r="N1396" i="7"/>
  <c r="N816" i="7"/>
  <c r="N130" i="7"/>
  <c r="N1010" i="7"/>
  <c r="N348" i="7"/>
  <c r="N1164" i="7"/>
  <c r="N461" i="7"/>
  <c r="N1307" i="7"/>
  <c r="N715" i="7"/>
  <c r="N67" i="7"/>
  <c r="N199" i="7"/>
  <c r="N1065" i="7"/>
  <c r="N402" i="7"/>
  <c r="N1225" i="7"/>
  <c r="N561" i="7"/>
  <c r="N1391" i="7"/>
  <c r="N811" i="7"/>
  <c r="N946" i="7"/>
  <c r="N227" i="7"/>
  <c r="N1132" i="7"/>
  <c r="N460" i="7"/>
  <c r="N694" i="7"/>
  <c r="N1419" i="7"/>
  <c r="N880" i="7"/>
  <c r="N194" i="7"/>
  <c r="N342" i="7"/>
  <c r="N1220" i="7"/>
  <c r="N560" i="7"/>
  <c r="N1343" i="7"/>
  <c r="N749" i="7"/>
  <c r="N222" i="7"/>
  <c r="N372" i="7"/>
  <c r="N1248" i="7"/>
  <c r="N693" i="7"/>
  <c r="N1406" i="7"/>
  <c r="N823" i="7"/>
  <c r="N132" i="7"/>
  <c r="N1000" i="7"/>
  <c r="N337" i="7"/>
  <c r="N201" i="7"/>
  <c r="N1055" i="7"/>
  <c r="N367" i="7"/>
  <c r="N510" i="7"/>
  <c r="N131" i="7"/>
  <c r="N952" i="7"/>
  <c r="N229" i="7"/>
  <c r="N1083" i="7"/>
  <c r="N450" i="7"/>
  <c r="N653" i="7"/>
  <c r="N886" i="7"/>
  <c r="N1011" i="7"/>
  <c r="N344" i="7"/>
  <c r="N1177" i="7"/>
  <c r="N505" i="7"/>
  <c r="N1308" i="7"/>
  <c r="N716" i="7"/>
  <c r="N64" i="7"/>
  <c r="N947" i="7"/>
  <c r="N228" i="7"/>
  <c r="N1066" i="7"/>
  <c r="N399" i="7"/>
  <c r="N1238" i="7"/>
  <c r="N1392" i="7"/>
  <c r="N126" i="7"/>
  <c r="N1006" i="7"/>
  <c r="N1133" i="7"/>
  <c r="N457" i="7"/>
  <c r="N1303" i="7"/>
  <c r="N711" i="7"/>
  <c r="N1420" i="7"/>
  <c r="N881" i="7"/>
  <c r="N1061" i="7"/>
  <c r="N398" i="7"/>
  <c r="N1221" i="7"/>
  <c r="N512" i="7"/>
  <c r="N568" i="7"/>
  <c r="N908" i="7"/>
  <c r="N76" i="7"/>
  <c r="N768" i="7"/>
  <c r="N1424" i="7"/>
  <c r="N910" i="7"/>
  <c r="N1356" i="7"/>
  <c r="N237" i="7"/>
  <c r="N906" i="7"/>
  <c r="N1425" i="7"/>
  <c r="N766" i="7"/>
  <c r="N649" i="7"/>
  <c r="N882" i="7"/>
  <c r="N1007" i="7"/>
  <c r="N340" i="7"/>
  <c r="N1173" i="7"/>
  <c r="N501" i="7"/>
  <c r="N655" i="7"/>
  <c r="N943" i="7"/>
  <c r="N224" i="7"/>
  <c r="N1062" i="7"/>
  <c r="N370" i="7"/>
  <c r="N607" i="7"/>
  <c r="N1353" i="7"/>
  <c r="N763" i="7"/>
  <c r="N122" i="7"/>
  <c r="N1002" i="7"/>
  <c r="N1129" i="7"/>
  <c r="N453" i="7"/>
  <c r="N1299" i="7"/>
  <c r="N707" i="7"/>
  <c r="N1416" i="7"/>
  <c r="N877" i="7"/>
  <c r="N1057" i="7"/>
  <c r="N369" i="7"/>
  <c r="N508" i="7"/>
  <c r="N1348" i="7"/>
  <c r="N758" i="7"/>
  <c r="N938" i="7"/>
  <c r="N219" i="7"/>
  <c r="N1124" i="7"/>
  <c r="N452" i="7"/>
  <c r="N1245" i="7"/>
  <c r="N651" i="7"/>
  <c r="N1411" i="7"/>
  <c r="N872" i="7"/>
  <c r="N186" i="7"/>
  <c r="N334" i="7"/>
  <c r="N1179" i="7"/>
  <c r="N507" i="7"/>
  <c r="N1335" i="7"/>
  <c r="N718" i="7"/>
  <c r="N66" i="7"/>
  <c r="N900" i="7"/>
  <c r="N214" i="7"/>
  <c r="N364" i="7"/>
  <c r="N1240" i="7"/>
  <c r="N650" i="7"/>
  <c r="N1398" i="7"/>
  <c r="N814" i="7"/>
  <c r="N124" i="7"/>
  <c r="N295" i="7"/>
  <c r="N447" i="7"/>
  <c r="N1305" i="7"/>
  <c r="N713" i="7"/>
  <c r="N65" i="7"/>
  <c r="N193" i="7"/>
  <c r="N358" i="7"/>
  <c r="N502" i="7"/>
  <c r="N123" i="7"/>
  <c r="N944" i="7"/>
  <c r="N221" i="7"/>
  <c r="N1075" i="7"/>
  <c r="N442" i="7"/>
  <c r="N878" i="7"/>
  <c r="N192" i="7"/>
  <c r="N336" i="7"/>
  <c r="N1169" i="7"/>
  <c r="N497" i="7"/>
  <c r="N708" i="7"/>
  <c r="N939" i="7"/>
  <c r="N220" i="7"/>
  <c r="N1058" i="7"/>
  <c r="N366" i="7"/>
  <c r="N603" i="7"/>
  <c r="N1349" i="7"/>
  <c r="N759" i="7"/>
  <c r="N118" i="7"/>
  <c r="N998" i="7"/>
  <c r="N335" i="7"/>
  <c r="N449" i="7"/>
  <c r="N1295" i="7"/>
  <c r="N703" i="7"/>
  <c r="N1412" i="7"/>
  <c r="N834" i="7"/>
  <c r="N1427" i="7"/>
  <c r="N772" i="7"/>
  <c r="N1359" i="7"/>
  <c r="N769" i="7"/>
  <c r="N567" i="7"/>
  <c r="N1257" i="7"/>
  <c r="N517" i="7"/>
  <c r="N770" i="7"/>
  <c r="N1253" i="7"/>
  <c r="N1187" i="7"/>
  <c r="N443" i="7"/>
  <c r="N1301" i="7"/>
  <c r="N709" i="7"/>
  <c r="N359" i="7"/>
  <c r="N189" i="7"/>
  <c r="N1016" i="7"/>
  <c r="N354" i="7"/>
  <c r="N119" i="7"/>
  <c r="N217" i="7"/>
  <c r="N1071" i="7"/>
  <c r="N438" i="7"/>
  <c r="N604" i="7"/>
  <c r="N188" i="7"/>
  <c r="N999" i="7"/>
  <c r="N331" i="7"/>
  <c r="N466" i="7"/>
  <c r="N704" i="7"/>
  <c r="N333" i="7"/>
  <c r="N903" i="7"/>
  <c r="N1054" i="7"/>
  <c r="N362" i="7"/>
  <c r="N1226" i="7"/>
  <c r="N599" i="7"/>
  <c r="N1345" i="7"/>
  <c r="N755" i="7"/>
  <c r="N110" i="7"/>
  <c r="N994" i="7"/>
  <c r="N330" i="7"/>
  <c r="N1082" i="7"/>
  <c r="N445" i="7"/>
  <c r="N1291" i="7"/>
  <c r="N699" i="7"/>
  <c r="N1408" i="7"/>
  <c r="N1049" i="7"/>
  <c r="N361" i="7"/>
  <c r="N1176" i="7"/>
  <c r="N500" i="7"/>
  <c r="N1340" i="7"/>
  <c r="N750" i="7"/>
  <c r="N897" i="7"/>
  <c r="N211" i="7"/>
  <c r="N1077" i="7"/>
  <c r="N444" i="7"/>
  <c r="N1237" i="7"/>
  <c r="N606" i="7"/>
  <c r="N1403" i="7"/>
  <c r="N824" i="7"/>
  <c r="N958" i="7"/>
  <c r="N292" i="7"/>
  <c r="N1171" i="7"/>
  <c r="N499" i="7"/>
  <c r="N1302" i="7"/>
  <c r="N710" i="7"/>
  <c r="N833" i="7"/>
  <c r="N892" i="7"/>
  <c r="N206" i="7"/>
  <c r="N355" i="7"/>
  <c r="N1232" i="7"/>
  <c r="N605" i="7"/>
  <c r="N1355" i="7"/>
  <c r="N761" i="7"/>
  <c r="N116" i="7"/>
  <c r="N234" i="7"/>
  <c r="N1297" i="7"/>
  <c r="N1418" i="7"/>
  <c r="N185" i="7"/>
  <c r="N1012" i="7"/>
  <c r="N350" i="7"/>
  <c r="N467" i="7"/>
  <c r="N115" i="7"/>
  <c r="N936" i="7"/>
  <c r="N213" i="7"/>
  <c r="N1067" i="7"/>
  <c r="N434" i="7"/>
  <c r="N600" i="7"/>
  <c r="N184" i="7"/>
  <c r="N995" i="7"/>
  <c r="N294" i="7"/>
  <c r="N1134" i="7"/>
  <c r="N462" i="7"/>
  <c r="N700" i="7"/>
  <c r="N832" i="7"/>
  <c r="N1315" i="7"/>
  <c r="N1188" i="7"/>
  <c r="N495" i="7"/>
  <c r="N888" i="7"/>
  <c r="N1228" i="7"/>
  <c r="N435" i="7"/>
  <c r="N111" i="7"/>
  <c r="N400" i="7"/>
  <c r="N1130" i="7"/>
  <c r="N1313" i="7"/>
  <c r="N353" i="7"/>
  <c r="N747" i="7"/>
  <c r="N1074" i="7"/>
  <c r="N1400" i="7"/>
  <c r="N352" i="7"/>
  <c r="N719" i="7"/>
  <c r="N1069" i="7"/>
  <c r="N1395" i="7"/>
  <c r="N231" i="7"/>
  <c r="N698" i="7"/>
  <c r="N1347" i="7"/>
  <c r="N1252" i="7"/>
  <c r="N1410" i="7"/>
  <c r="N136" i="7"/>
  <c r="N341" i="7"/>
  <c r="N873" i="7"/>
  <c r="N107" i="7"/>
  <c r="N205" i="7"/>
  <c r="N1059" i="7"/>
  <c r="N371" i="7"/>
  <c r="N514" i="7"/>
  <c r="N135" i="7"/>
  <c r="N233" i="7"/>
  <c r="N454" i="7"/>
  <c r="N692" i="7"/>
  <c r="N1423" i="7"/>
  <c r="N890" i="7"/>
  <c r="N204" i="7"/>
  <c r="N1015" i="7"/>
  <c r="N349" i="7"/>
  <c r="N1181" i="7"/>
  <c r="N509" i="7"/>
  <c r="N1312" i="7"/>
  <c r="N720" i="7"/>
  <c r="N68" i="7"/>
  <c r="N951" i="7"/>
  <c r="N1070" i="7"/>
  <c r="N403" i="7"/>
  <c r="N1242" i="7"/>
  <c r="N652" i="7"/>
  <c r="N820" i="7"/>
  <c r="N374" i="7"/>
  <c r="N706" i="7"/>
  <c r="N52" i="7"/>
  <c r="N53" i="7"/>
  <c r="N60" i="7"/>
  <c r="N61" i="7"/>
  <c r="N54" i="7"/>
  <c r="N566" i="7"/>
  <c r="N771" i="7"/>
  <c r="N1358" i="7"/>
  <c r="N954" i="7"/>
  <c r="N1298" i="7"/>
  <c r="N202" i="7"/>
  <c r="N601" i="7"/>
  <c r="N1293" i="7"/>
  <c r="N140" i="7"/>
  <c r="N463" i="7"/>
  <c r="N139" i="7"/>
  <c r="N458" i="7"/>
  <c r="N894" i="7"/>
  <c r="N1185" i="7"/>
  <c r="N102" i="7"/>
  <c r="N437" i="7"/>
  <c r="N821" i="7"/>
  <c r="N71" i="7"/>
  <c r="N436" i="7"/>
  <c r="N815" i="7"/>
  <c r="N1163" i="7"/>
  <c r="N347" i="7"/>
  <c r="N753" i="7"/>
  <c r="N762" i="7"/>
  <c r="N942" i="7"/>
  <c r="N1128" i="7"/>
  <c r="N1415" i="7"/>
  <c r="N190" i="7"/>
  <c r="N459" i="7"/>
  <c r="N1183" i="7"/>
  <c r="N1339" i="7"/>
  <c r="N745" i="7"/>
  <c r="N70" i="7"/>
  <c r="N218" i="7"/>
  <c r="N368" i="7"/>
  <c r="N1244" i="7"/>
  <c r="N654" i="7"/>
  <c r="N1402" i="7"/>
  <c r="N818" i="7"/>
  <c r="N128" i="7"/>
  <c r="N996" i="7"/>
  <c r="N332" i="7"/>
  <c r="N451" i="7"/>
  <c r="N717" i="7"/>
  <c r="N69" i="7"/>
  <c r="N197" i="7"/>
  <c r="N1051" i="7"/>
  <c r="N363" i="7"/>
  <c r="N506" i="7"/>
  <c r="N127" i="7"/>
  <c r="N948" i="7"/>
  <c r="N225" i="7"/>
  <c r="N1079" i="7"/>
  <c r="N446" i="7"/>
  <c r="N722" i="7"/>
  <c r="N114" i="7"/>
  <c r="N55" i="7"/>
  <c r="N51" i="7"/>
  <c r="N516" i="7"/>
  <c r="N235" i="7"/>
  <c r="N904" i="7"/>
  <c r="N1167" i="7"/>
  <c r="N75" i="7"/>
  <c r="N351" i="7"/>
  <c r="N757" i="7"/>
  <c r="N1414" i="7"/>
  <c r="N345" i="7"/>
  <c r="N1063" i="7"/>
  <c r="N290" i="7"/>
  <c r="N696" i="7"/>
  <c r="N1337" i="7"/>
  <c r="N289" i="7"/>
  <c r="N691" i="7"/>
  <c r="N1014" i="7"/>
  <c r="N1311" i="7"/>
  <c r="N203" i="7"/>
  <c r="N950" i="7"/>
  <c r="N1294" i="7"/>
  <c r="N198" i="7"/>
  <c r="N564" i="7"/>
  <c r="N1352" i="7"/>
  <c r="N223" i="7"/>
  <c r="N456" i="7"/>
  <c r="N690" i="7"/>
  <c r="N876" i="7"/>
  <c r="N898" i="7"/>
  <c r="N212" i="7"/>
  <c r="N1050" i="7"/>
  <c r="N357" i="7"/>
  <c r="N562" i="7"/>
  <c r="N1341" i="7"/>
  <c r="N751" i="7"/>
  <c r="N106" i="7"/>
  <c r="N959" i="7"/>
  <c r="N293" i="7"/>
  <c r="N1078" i="7"/>
  <c r="N441" i="7"/>
  <c r="N1250" i="7"/>
  <c r="N695" i="7"/>
  <c r="N1404" i="7"/>
  <c r="N825" i="7"/>
  <c r="N138" i="7"/>
  <c r="N1045" i="7"/>
  <c r="N356" i="7"/>
  <c r="N1172" i="7"/>
  <c r="N496" i="7"/>
  <c r="N1336" i="7"/>
  <c r="N746" i="7"/>
  <c r="N893" i="7"/>
  <c r="N207" i="7"/>
  <c r="N1073" i="7"/>
  <c r="N602" i="7"/>
  <c r="N1399" i="7"/>
  <c r="N819" i="7"/>
  <c r="N1422" i="7"/>
  <c r="N902" i="7"/>
  <c r="N59" i="7"/>
  <c r="N62" i="7"/>
  <c r="N47" i="7"/>
  <c r="N49" i="7"/>
  <c r="N63" i="7"/>
  <c r="N1254" i="7"/>
  <c r="N1008" i="7"/>
  <c r="N991" i="7"/>
  <c r="N955" i="7"/>
  <c r="N889" i="7"/>
  <c r="N884" i="7"/>
  <c r="N401" i="7"/>
  <c r="N1131" i="7"/>
  <c r="N1180" i="7"/>
  <c r="N113" i="7"/>
  <c r="N448" i="7"/>
  <c r="N828" i="7"/>
  <c r="N1175" i="7"/>
  <c r="N373" i="7"/>
  <c r="N360" i="7"/>
  <c r="N765" i="7"/>
  <c r="N72" i="7"/>
  <c r="N48" i="7"/>
  <c r="N56" i="7"/>
  <c r="N724" i="7"/>
  <c r="N1351" i="7"/>
  <c r="N1342" i="7"/>
  <c r="N1251" i="7"/>
  <c r="N1229" i="7"/>
  <c r="N1224" i="7"/>
  <c r="N697" i="7"/>
  <c r="N338" i="7"/>
  <c r="N504" i="7"/>
  <c r="N901" i="7"/>
  <c r="N1241" i="7"/>
  <c r="N503" i="7"/>
  <c r="N896" i="7"/>
  <c r="N1236" i="7"/>
  <c r="N120" i="7"/>
  <c r="N611" i="7"/>
  <c r="N46" i="7"/>
  <c r="N45" i="7"/>
  <c r="N230" i="7"/>
  <c r="N208" i="7"/>
  <c r="N129" i="7"/>
  <c r="N827" i="7"/>
  <c r="N1344" i="7"/>
  <c r="N610" i="7"/>
  <c r="N1310" i="7"/>
  <c r="N57" i="7"/>
  <c r="N905" i="7"/>
  <c r="N701" i="7"/>
  <c r="N513" i="7"/>
  <c r="N1004" i="7"/>
  <c r="N754" i="7"/>
  <c r="N1407" i="7"/>
  <c r="N714" i="7"/>
  <c r="N1394" i="7"/>
  <c r="N50" i="7"/>
  <c r="N702" i="7"/>
  <c r="N563" i="7"/>
  <c r="N465" i="7"/>
  <c r="N226" i="7"/>
  <c r="N1081" i="7"/>
  <c r="N296" i="7"/>
  <c r="N291" i="7"/>
  <c r="N44" i="7"/>
  <c r="N288" i="7"/>
  <c r="N1053" i="7"/>
  <c r="N957" i="7"/>
  <c r="N134" i="7"/>
  <c r="N993" i="7"/>
  <c r="N209" i="7"/>
  <c r="N58" i="7"/>
  <c r="N108" i="7"/>
  <c r="N215" i="7"/>
  <c r="N210" i="7"/>
  <c r="N609" i="7"/>
  <c r="N365" i="7"/>
  <c r="N216" i="7"/>
  <c r="N1184" i="7"/>
  <c r="N1003" i="7"/>
  <c r="N112" i="7"/>
  <c r="N133" i="7"/>
  <c r="N191" i="7"/>
  <c r="N752" i="7"/>
  <c r="N826" i="7"/>
  <c r="N879" i="7"/>
  <c r="N895" i="7"/>
  <c r="N941" i="7"/>
  <c r="N997" i="7"/>
  <c r="N1017" i="7"/>
  <c r="N1060" i="7"/>
  <c r="N1076" i="7"/>
  <c r="N1174" i="7"/>
  <c r="N1223" i="7"/>
  <c r="N1239" i="7"/>
  <c r="N1296" i="7"/>
  <c r="N1350" i="7"/>
  <c r="N1397" i="7"/>
  <c r="N1413" i="7"/>
  <c r="N1314" i="7"/>
  <c r="N829" i="7"/>
  <c r="N498" i="7"/>
  <c r="N1047" i="7"/>
  <c r="N721" i="7"/>
  <c r="N464" i="7"/>
  <c r="N1013" i="7"/>
  <c r="N1249" i="7"/>
  <c r="N1125" i="7"/>
  <c r="N121" i="7"/>
  <c r="N1068" i="7"/>
  <c r="N1166" i="7"/>
  <c r="N1231" i="7"/>
  <c r="N712" i="7"/>
  <c r="N511" i="7"/>
  <c r="N343" i="7"/>
  <c r="N200" i="7"/>
  <c r="N1168" i="7"/>
  <c r="N956" i="7"/>
  <c r="N117" i="7"/>
  <c r="N137" i="7"/>
  <c r="N195" i="7"/>
  <c r="N756" i="7"/>
  <c r="N830" i="7"/>
  <c r="N883" i="7"/>
  <c r="N899" i="7"/>
  <c r="N945" i="7"/>
  <c r="N1001" i="7"/>
  <c r="N1064" i="7"/>
  <c r="N1080" i="7"/>
  <c r="N1135" i="7"/>
  <c r="N1178" i="7"/>
  <c r="N1227" i="7"/>
  <c r="N1243" i="7"/>
  <c r="N1300" i="7"/>
  <c r="N1354" i="7"/>
  <c r="N1401" i="7"/>
  <c r="N1417" i="7"/>
  <c r="N1256" i="7"/>
  <c r="N812" i="7"/>
  <c r="N455" i="7"/>
  <c r="N940" i="7"/>
  <c r="N183" i="7"/>
  <c r="N760" i="7"/>
  <c r="N817" i="7"/>
  <c r="N887" i="7"/>
  <c r="N949" i="7"/>
  <c r="N1005" i="7"/>
  <c r="N1304" i="7"/>
  <c r="N1405" i="7"/>
  <c r="N705" i="7"/>
  <c r="N440" i="7"/>
  <c r="N1056" i="7"/>
  <c r="N232" i="7"/>
  <c r="N1233" i="7"/>
  <c r="N1046" i="7"/>
  <c r="N104" i="7"/>
  <c r="N125" i="7"/>
  <c r="N187" i="7"/>
  <c r="N764" i="7"/>
  <c r="N822" i="7"/>
  <c r="N891" i="7"/>
  <c r="N953" i="7"/>
  <c r="N1009" i="7"/>
  <c r="N1052" i="7"/>
  <c r="N1072" i="7"/>
  <c r="N1170" i="7"/>
  <c r="N1186" i="7"/>
  <c r="N1235" i="7"/>
  <c r="N1292" i="7"/>
  <c r="N1309" i="7"/>
  <c r="N1346" i="7"/>
  <c r="N1409" i="7"/>
  <c r="N73" i="7"/>
  <c r="N885" i="7"/>
  <c r="N608" i="7"/>
  <c r="N1234" i="7"/>
  <c r="N1084" i="7"/>
  <c r="N1182" i="7"/>
  <c r="N1247" i="7"/>
  <c r="N1338" i="7"/>
  <c r="N1421" i="7"/>
  <c r="N346" i="7"/>
  <c r="N1426" i="7"/>
  <c r="N439" i="7"/>
  <c r="N109" i="7"/>
  <c r="N907" i="7"/>
  <c r="N1230" i="7"/>
  <c r="N43" i="7"/>
  <c r="N937" i="7"/>
  <c r="N1127" i="7"/>
  <c r="N992" i="7"/>
  <c r="N748" i="7"/>
  <c r="N74" i="7"/>
  <c r="N1290" i="7"/>
  <c r="N1126" i="7"/>
  <c r="N875" i="7"/>
  <c r="N1165" i="7"/>
  <c r="N1334" i="7"/>
  <c r="N1357" i="7"/>
  <c r="N1222" i="7"/>
  <c r="N831" i="7"/>
  <c r="N1048" i="7"/>
  <c r="N1255" i="7"/>
  <c r="N1246" i="7"/>
  <c r="N196" i="7"/>
  <c r="N874" i="7"/>
  <c r="N1306" i="7"/>
  <c r="N813" i="7"/>
  <c r="N105" i="7"/>
  <c r="N468" i="7"/>
  <c r="N565" i="7"/>
  <c r="N1393" i="7"/>
  <c r="N767" i="7"/>
  <c r="N182" i="7"/>
  <c r="N648" i="7"/>
  <c r="N339" i="7"/>
  <c r="M1431" i="7"/>
  <c r="N582" i="7"/>
  <c r="N1156" i="7"/>
  <c r="N986" i="7"/>
  <c r="N861" i="7"/>
  <c r="N644" i="7"/>
  <c r="N540" i="7"/>
  <c r="N806" i="7"/>
  <c r="N741" i="7"/>
  <c r="N1372" i="7"/>
  <c r="N172" i="7"/>
  <c r="N867" i="7"/>
  <c r="N989" i="7"/>
  <c r="N799" i="7"/>
  <c r="N807" i="7"/>
  <c r="N286" i="7"/>
  <c r="N386" i="7"/>
  <c r="N395" i="7"/>
  <c r="N1110" i="7"/>
  <c r="N587" i="7"/>
  <c r="N427" i="7"/>
  <c r="N414" i="7"/>
  <c r="N277" i="7"/>
  <c r="N175" i="7"/>
  <c r="N390" i="7"/>
  <c r="N547" i="7"/>
  <c r="N483" i="7"/>
  <c r="N418" i="7"/>
  <c r="N553" i="7"/>
  <c r="N1284" i="7"/>
  <c r="N1154" i="7"/>
  <c r="N1273" i="7"/>
  <c r="N1109" i="7"/>
  <c r="N851" i="7"/>
  <c r="N632" i="7"/>
  <c r="N324" i="7"/>
  <c r="N1327" i="7"/>
  <c r="N309" i="7"/>
  <c r="N1034" i="7"/>
  <c r="N282" i="7"/>
  <c r="N1098" i="7"/>
  <c r="N982" i="7"/>
  <c r="N88" i="7"/>
  <c r="N417" i="7"/>
  <c r="N636" i="7"/>
  <c r="N973" i="7"/>
  <c r="N804" i="7"/>
  <c r="N25" i="7"/>
  <c r="N177" i="7"/>
  <c r="N1035" i="7"/>
  <c r="N480" i="7"/>
  <c r="N1278" i="7"/>
  <c r="N1036" i="7"/>
  <c r="N276" i="7"/>
  <c r="N592" i="7"/>
  <c r="N1332" i="7"/>
  <c r="N864" i="7"/>
  <c r="N639" i="7"/>
  <c r="N1369" i="7"/>
  <c r="N926" i="7"/>
  <c r="N930" i="7"/>
  <c r="N1116" i="7"/>
  <c r="N849" i="7"/>
  <c r="N1215" i="7"/>
  <c r="N975" i="7"/>
  <c r="N848" i="7"/>
  <c r="N1330" i="7"/>
  <c r="N732" i="7"/>
  <c r="N594" i="7"/>
  <c r="N1322" i="7"/>
  <c r="N98" i="7"/>
  <c r="N983" i="7"/>
  <c r="N679" i="7"/>
  <c r="N676" i="7"/>
  <c r="N491" i="7"/>
  <c r="N413" i="7"/>
  <c r="N421" i="7"/>
  <c r="N726" i="7"/>
  <c r="N16" i="7"/>
  <c r="N273" i="7"/>
  <c r="N1200" i="7"/>
  <c r="N87" i="7"/>
  <c r="N538" i="7"/>
  <c r="N1145" i="7"/>
  <c r="N977" i="7"/>
  <c r="N1379" i="7"/>
  <c r="N1119" i="7"/>
  <c r="N857" i="7"/>
  <c r="N278" i="7"/>
  <c r="N171" i="7"/>
  <c r="N740" i="7"/>
  <c r="N21" i="7"/>
  <c r="N856" i="7"/>
  <c r="N809" i="7"/>
  <c r="N1374" i="7"/>
  <c r="N645" i="7"/>
  <c r="N312" i="7"/>
  <c r="N492" i="7"/>
  <c r="N1030" i="7"/>
  <c r="N1373" i="7"/>
  <c r="N392" i="7"/>
  <c r="N1283" i="7"/>
  <c r="N674" i="7"/>
  <c r="N384" i="7"/>
  <c r="N15" i="7"/>
  <c r="N1386" i="7"/>
  <c r="N1218" i="7"/>
  <c r="N428" i="7"/>
  <c r="N1203" i="7"/>
  <c r="N728" i="7"/>
  <c r="N535" i="7"/>
  <c r="N1205" i="7"/>
  <c r="N794" i="7"/>
  <c r="N1368" i="7"/>
  <c r="N280" i="7"/>
  <c r="N1107" i="7"/>
  <c r="N581" i="7"/>
  <c r="N539" i="7"/>
  <c r="N19" i="7"/>
  <c r="N1199" i="7"/>
  <c r="N482" i="7"/>
  <c r="N100" i="7"/>
  <c r="N1370" i="7"/>
  <c r="N420" i="7"/>
  <c r="N1269" i="7"/>
  <c r="N486" i="7"/>
  <c r="N1217" i="7"/>
  <c r="N589" i="7"/>
  <c r="N426" i="7"/>
  <c r="N1118" i="7"/>
  <c r="N579" i="7"/>
  <c r="N1329" i="7"/>
  <c r="N1214" i="7"/>
  <c r="N1029" i="7"/>
  <c r="N852" i="7"/>
  <c r="N179" i="7"/>
  <c r="N1103" i="7"/>
  <c r="N544" i="7"/>
  <c r="N1105" i="7"/>
  <c r="N583" i="7"/>
  <c r="N919" i="7"/>
  <c r="N169" i="7"/>
  <c r="N931" i="7"/>
  <c r="N432" i="7"/>
  <c r="N1272" i="7"/>
  <c r="N1275" i="7"/>
  <c r="N1043" i="7"/>
  <c r="N321" i="7"/>
  <c r="N1277" i="7"/>
  <c r="N1106" i="7"/>
  <c r="N39" i="7"/>
  <c r="N633" i="7"/>
  <c r="N415" i="7"/>
  <c r="N285" i="7"/>
  <c r="N36" i="7"/>
  <c r="N923" i="7"/>
  <c r="N307" i="7"/>
  <c r="N1033" i="7"/>
  <c r="N803" i="7"/>
  <c r="N272" i="7"/>
  <c r="N978" i="7"/>
  <c r="N542" i="7"/>
  <c r="N162" i="7"/>
  <c r="N1114" i="7"/>
  <c r="N310" i="7"/>
  <c r="N673" i="7"/>
  <c r="N170" i="7"/>
  <c r="N1037" i="7"/>
  <c r="N791" i="7"/>
  <c r="N168" i="7"/>
  <c r="N1121" i="7"/>
  <c r="N590" i="7"/>
  <c r="N1387" i="7"/>
  <c r="N865" i="7"/>
  <c r="N795" i="7"/>
  <c r="N416" i="7"/>
  <c r="N173" i="7"/>
  <c r="N785" i="7"/>
  <c r="N585" i="7"/>
  <c r="N860" i="7"/>
  <c r="N802" i="7"/>
  <c r="N1149" i="7"/>
  <c r="N934" i="7"/>
  <c r="N846" i="7"/>
  <c r="N1113" i="7"/>
  <c r="N1155" i="7"/>
  <c r="N393" i="7"/>
  <c r="N1274" i="7"/>
  <c r="N1323" i="7"/>
  <c r="N326" i="7"/>
  <c r="N1100" i="7"/>
  <c r="N734" i="7"/>
  <c r="N536" i="7"/>
  <c r="N1381" i="7"/>
  <c r="N38" i="7"/>
  <c r="N793" i="7"/>
  <c r="N311" i="7"/>
  <c r="N1115" i="7"/>
  <c r="N853" i="7"/>
  <c r="N313" i="7"/>
  <c r="N1209" i="7"/>
  <c r="N165" i="7"/>
  <c r="N677" i="7"/>
  <c r="N41" i="7"/>
  <c r="N976" i="7"/>
  <c r="N933" i="7"/>
  <c r="N558" i="7"/>
  <c r="N327" i="7"/>
  <c r="N866" i="7"/>
  <c r="N736" i="7"/>
  <c r="N1097" i="7"/>
  <c r="N928" i="7"/>
  <c r="N30" i="7"/>
  <c r="N870" i="7"/>
  <c r="N274" i="7"/>
  <c r="N984" i="7"/>
  <c r="N787" i="7"/>
  <c r="N180" i="7"/>
  <c r="N932" i="7"/>
  <c r="N388" i="7"/>
  <c r="N1328" i="7"/>
  <c r="N1032" i="7"/>
  <c r="N40" i="7"/>
  <c r="N638" i="7"/>
  <c r="N988" i="7"/>
  <c r="N743" i="7"/>
  <c r="N86" i="7"/>
  <c r="N1104" i="7"/>
  <c r="N97" i="7"/>
  <c r="N557" i="7"/>
  <c r="N1371" i="7"/>
  <c r="N850" i="7"/>
  <c r="N731" i="7"/>
  <c r="N317" i="7"/>
  <c r="N95" i="7"/>
  <c r="N733" i="7"/>
  <c r="N552" i="7"/>
  <c r="N735" i="7"/>
  <c r="N786" i="7"/>
  <c r="N643" i="7"/>
  <c r="N425" i="7"/>
  <c r="N270" i="7"/>
  <c r="N283" i="7"/>
  <c r="N549" i="7"/>
  <c r="N1281" i="7"/>
  <c r="N642" i="7"/>
  <c r="N488" i="7"/>
  <c r="N1151" i="7"/>
  <c r="N595" i="7"/>
  <c r="N1384" i="7"/>
  <c r="N1376" i="7"/>
  <c r="N1148" i="7"/>
  <c r="N974" i="7"/>
  <c r="N275" i="7"/>
  <c r="N1120" i="7"/>
  <c r="N593" i="7"/>
  <c r="N430" i="7"/>
  <c r="N1122" i="7"/>
  <c r="N678" i="7"/>
  <c r="N85" i="7"/>
  <c r="N314" i="7"/>
  <c r="N981" i="7"/>
  <c r="N489" i="7"/>
  <c r="N1288" i="7"/>
  <c r="N1326" i="7"/>
  <c r="N1158" i="7"/>
  <c r="N391" i="7"/>
  <c r="N1375" i="7"/>
  <c r="N1216" i="7"/>
  <c r="N176" i="7"/>
  <c r="N306" i="7"/>
  <c r="N672" i="7"/>
  <c r="N166" i="7"/>
  <c r="N730" i="7"/>
  <c r="N1382" i="7"/>
  <c r="N550" i="7"/>
  <c r="N1108" i="7"/>
  <c r="N738" i="7"/>
  <c r="N1042" i="7"/>
  <c r="N1331" i="7"/>
  <c r="N554" i="7"/>
  <c r="N91" i="7"/>
  <c r="N315" i="7"/>
  <c r="N1159" i="7"/>
  <c r="N323" i="7"/>
  <c r="N980" i="7"/>
  <c r="N1325" i="7"/>
  <c r="N1038" i="7"/>
  <c r="N1202" i="7"/>
  <c r="N396" i="7"/>
  <c r="N798" i="7"/>
  <c r="N94" i="7"/>
  <c r="N858" i="7"/>
  <c r="N1160" i="7"/>
  <c r="N429" i="7"/>
  <c r="N318" i="7"/>
  <c r="N96" i="7"/>
  <c r="N979" i="7"/>
  <c r="N22" i="7"/>
  <c r="N788" i="7"/>
  <c r="N1031" i="7"/>
  <c r="N431" i="7"/>
  <c r="N32" i="7"/>
  <c r="N33" i="7"/>
  <c r="N646" i="7"/>
  <c r="N790" i="7"/>
  <c r="N805" i="7"/>
  <c r="N160" i="7"/>
  <c r="N1383" i="7"/>
  <c r="N584" i="7"/>
  <c r="N920" i="7"/>
  <c r="N387" i="7"/>
  <c r="N684" i="7"/>
  <c r="N90" i="7"/>
  <c r="N578" i="7"/>
  <c r="N543" i="7"/>
  <c r="N389" i="7"/>
  <c r="N556" i="7"/>
  <c r="N1153" i="7"/>
  <c r="N577" i="7"/>
  <c r="N669" i="7"/>
  <c r="N855" i="7"/>
  <c r="N1161" i="7"/>
  <c r="N89" i="7"/>
  <c r="N37" i="7"/>
  <c r="N727" i="7"/>
  <c r="N1039" i="7"/>
  <c r="N541" i="7"/>
  <c r="N800" i="7"/>
  <c r="N281" i="7"/>
  <c r="N681" i="7"/>
  <c r="N671" i="7"/>
  <c r="N163" i="7"/>
  <c r="N17" i="7"/>
  <c r="N596" i="7"/>
  <c r="N742" i="7"/>
  <c r="N26" i="7"/>
  <c r="N1380" i="7"/>
  <c r="N1285" i="7"/>
  <c r="N551" i="7"/>
  <c r="N859" i="7"/>
  <c r="N316" i="7"/>
  <c r="N597" i="7"/>
  <c r="N35" i="7"/>
  <c r="N545" i="7"/>
  <c r="N484" i="7"/>
  <c r="N1389" i="7"/>
  <c r="N284" i="7"/>
  <c r="N325" i="7"/>
  <c r="N481" i="7"/>
  <c r="N987" i="7"/>
  <c r="N1150" i="7"/>
  <c r="N688" i="7"/>
  <c r="N161" i="7"/>
  <c r="N394" i="7"/>
  <c r="N929" i="7"/>
  <c r="N1286" i="7"/>
  <c r="N801" i="7"/>
  <c r="N1102" i="7"/>
  <c r="N682" i="7"/>
  <c r="N1112" i="7"/>
  <c r="N1279" i="7"/>
  <c r="N1276" i="7"/>
  <c r="N548" i="7"/>
  <c r="N164" i="7"/>
  <c r="N921" i="7"/>
  <c r="N922" i="7"/>
  <c r="N18" i="7"/>
  <c r="N683" i="7"/>
  <c r="N493" i="7"/>
  <c r="N685" i="7"/>
  <c r="N1385" i="7"/>
  <c r="N641" i="7"/>
  <c r="N744" i="7"/>
  <c r="N534" i="7"/>
  <c r="N555" i="7"/>
  <c r="N178" i="7"/>
  <c r="N640" i="7"/>
  <c r="N1099" i="7"/>
  <c r="N424" i="7"/>
  <c r="N322" i="7"/>
  <c r="N1206" i="7"/>
  <c r="N93" i="7"/>
  <c r="N1028" i="7"/>
  <c r="N854" i="7"/>
  <c r="N680" i="7"/>
  <c r="N419" i="7"/>
  <c r="N1282" i="7"/>
  <c r="N385" i="7"/>
  <c r="N1040" i="7"/>
  <c r="N862" i="7"/>
  <c r="N863" i="7"/>
  <c r="N23" i="7"/>
  <c r="N422" i="7"/>
  <c r="N1117" i="7"/>
  <c r="N167" i="7"/>
  <c r="N868" i="7"/>
  <c r="N729" i="7"/>
  <c r="N634" i="7"/>
  <c r="N1147" i="7"/>
  <c r="N279" i="7"/>
  <c r="N808" i="7"/>
  <c r="N1027" i="7"/>
  <c r="N537" i="7"/>
  <c r="N1287" i="7"/>
  <c r="N1207" i="7"/>
  <c r="N1144" i="7"/>
  <c r="N591" i="7"/>
  <c r="N739" i="7"/>
  <c r="N29" i="7"/>
  <c r="N1210" i="7"/>
  <c r="N586" i="7"/>
  <c r="N31" i="7"/>
  <c r="N1324" i="7"/>
  <c r="N24" i="7"/>
  <c r="N686" i="7"/>
  <c r="N792" i="7"/>
  <c r="N784" i="7"/>
  <c r="N490" i="7"/>
  <c r="N1157" i="7"/>
  <c r="N546" i="7"/>
  <c r="N630" i="7"/>
  <c r="N1280" i="7"/>
  <c r="N924" i="7"/>
  <c r="N927" i="7"/>
  <c r="N487" i="7"/>
  <c r="N174" i="7"/>
  <c r="N28" i="7"/>
  <c r="N1146" i="7"/>
  <c r="N1101" i="7"/>
  <c r="N1211" i="7"/>
  <c r="N637" i="7"/>
  <c r="N985" i="7"/>
  <c r="N687" i="7"/>
  <c r="N320" i="7"/>
  <c r="N423" i="7"/>
  <c r="N869" i="7"/>
  <c r="N1212" i="7"/>
  <c r="N328" i="7"/>
  <c r="N635" i="7"/>
  <c r="N796" i="7"/>
  <c r="N271" i="7"/>
  <c r="N485" i="7"/>
  <c r="N308" i="7"/>
  <c r="N1270" i="7"/>
  <c r="N737" i="7"/>
  <c r="N1096" i="7"/>
  <c r="N1388" i="7"/>
  <c r="N925" i="7"/>
  <c r="N1041" i="7"/>
  <c r="N27" i="7"/>
  <c r="N588" i="7"/>
  <c r="N789" i="7"/>
  <c r="N34" i="7"/>
  <c r="N675" i="7"/>
  <c r="N99" i="7"/>
  <c r="N1271" i="7"/>
  <c r="N1201" i="7"/>
  <c r="N847" i="7"/>
  <c r="N580" i="7"/>
  <c r="K1435" i="7"/>
  <c r="I1435" i="7"/>
  <c r="P670" i="7" l="1"/>
  <c r="N20" i="7"/>
  <c r="O972" i="7"/>
  <c r="O92" i="7"/>
  <c r="P580" i="7"/>
  <c r="O580" i="7"/>
  <c r="P308" i="7"/>
  <c r="O308" i="7"/>
  <c r="O637" i="7"/>
  <c r="P637" i="7"/>
  <c r="O1157" i="7"/>
  <c r="P1157" i="7"/>
  <c r="P537" i="7"/>
  <c r="O537" i="7"/>
  <c r="O1282" i="7"/>
  <c r="P1282" i="7"/>
  <c r="P555" i="7"/>
  <c r="O555" i="7"/>
  <c r="O548" i="7"/>
  <c r="P548" i="7"/>
  <c r="P1150" i="7"/>
  <c r="O1150" i="7"/>
  <c r="P742" i="7"/>
  <c r="O742" i="7"/>
  <c r="P89" i="7"/>
  <c r="O89" i="7"/>
  <c r="P160" i="7"/>
  <c r="O160" i="7"/>
  <c r="P318" i="7"/>
  <c r="O318" i="7"/>
  <c r="O1159" i="7"/>
  <c r="P1159" i="7"/>
  <c r="O1375" i="7"/>
  <c r="P1375" i="7"/>
  <c r="P1148" i="7"/>
  <c r="O1148" i="7"/>
  <c r="P733" i="7"/>
  <c r="O733" i="7"/>
  <c r="P984" i="7"/>
  <c r="O984" i="7"/>
  <c r="P313" i="7"/>
  <c r="O313" i="7"/>
  <c r="P846" i="7"/>
  <c r="O846" i="7"/>
  <c r="P1037" i="7"/>
  <c r="O1037" i="7"/>
  <c r="P923" i="7"/>
  <c r="O923" i="7"/>
  <c r="P432" i="7"/>
  <c r="O432" i="7"/>
  <c r="O589" i="7"/>
  <c r="P589" i="7"/>
  <c r="O1107" i="7"/>
  <c r="P1107" i="7"/>
  <c r="P1373" i="7"/>
  <c r="O1373" i="7"/>
  <c r="P1145" i="7"/>
  <c r="O1145" i="7"/>
  <c r="P983" i="7"/>
  <c r="O983" i="7"/>
  <c r="O926" i="7"/>
  <c r="P926" i="7"/>
  <c r="P417" i="7"/>
  <c r="O417" i="7"/>
  <c r="P1273" i="7"/>
  <c r="O1273" i="7"/>
  <c r="P587" i="7"/>
  <c r="O587" i="7"/>
  <c r="O806" i="7"/>
  <c r="P806" i="7"/>
  <c r="O986" i="7"/>
  <c r="P986" i="7"/>
  <c r="N265" i="7"/>
  <c r="N620" i="7"/>
  <c r="N624" i="7"/>
  <c r="N241" i="7"/>
  <c r="N623" i="7"/>
  <c r="N245" i="7"/>
  <c r="N155" i="7"/>
  <c r="N474" i="7"/>
  <c r="N1094" i="7"/>
  <c r="N529" i="7"/>
  <c r="N247" i="7"/>
  <c r="N530" i="7"/>
  <c r="N407" i="7"/>
  <c r="N663" i="7"/>
  <c r="N145" i="7"/>
  <c r="N382" i="7"/>
  <c r="N969" i="7"/>
  <c r="N154" i="7"/>
  <c r="N625" i="7"/>
  <c r="N1025" i="7"/>
  <c r="N153" i="7"/>
  <c r="N1267" i="7"/>
  <c r="N13" i="7"/>
  <c r="N667" i="7"/>
  <c r="N1088" i="7"/>
  <c r="N82" i="7"/>
  <c r="N781" i="7"/>
  <c r="N83" i="7"/>
  <c r="N1364" i="7"/>
  <c r="N410" i="7"/>
  <c r="N8" i="7"/>
  <c r="N259" i="7"/>
  <c r="N617" i="7"/>
  <c r="N619" i="7"/>
  <c r="N621" i="7"/>
  <c r="N618" i="7"/>
  <c r="N266" i="7"/>
  <c r="N304" i="7"/>
  <c r="N572" i="7"/>
  <c r="N966" i="7"/>
  <c r="N260" i="7"/>
  <c r="N1194" i="7"/>
  <c r="N1092" i="7"/>
  <c r="N156" i="7"/>
  <c r="N80" i="7"/>
  <c r="N152" i="7"/>
  <c r="N1195" i="7"/>
  <c r="N11" i="7"/>
  <c r="N255" i="7"/>
  <c r="N968" i="7"/>
  <c r="N146" i="7"/>
  <c r="N408" i="7"/>
  <c r="N521" i="7"/>
  <c r="N573" i="7"/>
  <c r="N148" i="7"/>
  <c r="N660" i="7"/>
  <c r="N841" i="7"/>
  <c r="N1091" i="7"/>
  <c r="N9" i="7"/>
  <c r="N150" i="7"/>
  <c r="N664" i="7"/>
  <c r="N243" i="7"/>
  <c r="N616" i="7"/>
  <c r="N253" i="7"/>
  <c r="N628" i="7"/>
  <c r="N473" i="7"/>
  <c r="N1141" i="7"/>
  <c r="N261" i="7"/>
  <c r="N1193" i="7"/>
  <c r="N917" i="7"/>
  <c r="N1197" i="7"/>
  <c r="N965" i="7"/>
  <c r="N303" i="7"/>
  <c r="N780" i="7"/>
  <c r="N839" i="7"/>
  <c r="N523" i="7"/>
  <c r="N1089" i="7"/>
  <c r="N843" i="7"/>
  <c r="N779" i="7"/>
  <c r="N149" i="7"/>
  <c r="N967" i="7"/>
  <c r="N262" i="7"/>
  <c r="N1320" i="7"/>
  <c r="N476" i="7"/>
  <c r="N531" i="7"/>
  <c r="N379" i="7"/>
  <c r="N254" i="7"/>
  <c r="N264" i="7"/>
  <c r="N268" i="7"/>
  <c r="N1093" i="7"/>
  <c r="N525" i="7"/>
  <c r="N1022" i="7"/>
  <c r="N527" i="7"/>
  <c r="N622" i="7"/>
  <c r="N380" i="7"/>
  <c r="N916" i="7"/>
  <c r="N1265" i="7"/>
  <c r="N1142" i="7"/>
  <c r="N249" i="7"/>
  <c r="N242" i="7"/>
  <c r="N151" i="7"/>
  <c r="N10" i="7"/>
  <c r="N381" i="7"/>
  <c r="N1262" i="7"/>
  <c r="N526" i="7"/>
  <c r="N1319" i="7"/>
  <c r="N248" i="7"/>
  <c r="N665" i="7"/>
  <c r="N12" i="7"/>
  <c r="N970" i="7"/>
  <c r="N778" i="7"/>
  <c r="N1023" i="7"/>
  <c r="N626" i="7"/>
  <c r="N246" i="7"/>
  <c r="N250" i="7"/>
  <c r="N409" i="7"/>
  <c r="N302" i="7"/>
  <c r="N661" i="7"/>
  <c r="N256" i="7"/>
  <c r="N244" i="7"/>
  <c r="N147" i="7"/>
  <c r="N522" i="7"/>
  <c r="N81" i="7"/>
  <c r="N1365" i="7"/>
  <c r="N477" i="7"/>
  <c r="N1363" i="7"/>
  <c r="N840" i="7"/>
  <c r="N1090" i="7"/>
  <c r="N915" i="7"/>
  <c r="N1264" i="7"/>
  <c r="N478" i="7"/>
  <c r="N1139" i="7"/>
  <c r="N1196" i="7"/>
  <c r="N532" i="7"/>
  <c r="N258" i="7"/>
  <c r="N1192" i="7"/>
  <c r="N1266" i="7"/>
  <c r="N1366" i="7"/>
  <c r="N300" i="7"/>
  <c r="N524" i="7"/>
  <c r="N157" i="7"/>
  <c r="N615" i="7"/>
  <c r="N301" i="7"/>
  <c r="N844" i="7"/>
  <c r="N411" i="7"/>
  <c r="N475" i="7"/>
  <c r="N1263" i="7"/>
  <c r="N777" i="7"/>
  <c r="N267" i="7"/>
  <c r="N666" i="7"/>
  <c r="N251" i="7"/>
  <c r="N378" i="7"/>
  <c r="N659" i="7"/>
  <c r="N252" i="7"/>
  <c r="N528" i="7"/>
  <c r="N1140" i="7"/>
  <c r="N782" i="7"/>
  <c r="N1024" i="7"/>
  <c r="N575" i="7"/>
  <c r="N776" i="7"/>
  <c r="N627" i="7"/>
  <c r="N842" i="7"/>
  <c r="N964" i="7"/>
  <c r="N914" i="7"/>
  <c r="N662" i="7"/>
  <c r="N574" i="7"/>
  <c r="N263" i="7"/>
  <c r="P1306" i="7"/>
  <c r="O1306" i="7"/>
  <c r="O1126" i="7"/>
  <c r="P1126" i="7"/>
  <c r="O1247" i="7"/>
  <c r="P1247" i="7"/>
  <c r="P1186" i="7"/>
  <c r="O1186" i="7"/>
  <c r="O440" i="7"/>
  <c r="P440" i="7"/>
  <c r="P1354" i="7"/>
  <c r="O1354" i="7"/>
  <c r="P830" i="7"/>
  <c r="O830" i="7"/>
  <c r="O1249" i="7"/>
  <c r="P1249" i="7"/>
  <c r="P1239" i="7"/>
  <c r="O1239" i="7"/>
  <c r="O191" i="7"/>
  <c r="P191" i="7"/>
  <c r="P209" i="7"/>
  <c r="O209" i="7"/>
  <c r="O714" i="7"/>
  <c r="P714" i="7"/>
  <c r="P129" i="7"/>
  <c r="O129" i="7"/>
  <c r="P504" i="7"/>
  <c r="O504" i="7"/>
  <c r="P1131" i="7"/>
  <c r="O1131" i="7"/>
  <c r="P1399" i="7"/>
  <c r="O1399" i="7"/>
  <c r="P825" i="7"/>
  <c r="O825" i="7"/>
  <c r="O876" i="7"/>
  <c r="P876" i="7"/>
  <c r="O290" i="7"/>
  <c r="P290" i="7"/>
  <c r="O55" i="7"/>
  <c r="P55" i="7"/>
  <c r="O996" i="7"/>
  <c r="P996" i="7"/>
  <c r="P459" i="7"/>
  <c r="O459" i="7"/>
  <c r="O894" i="7"/>
  <c r="P894" i="7"/>
  <c r="P566" i="7"/>
  <c r="O566" i="7"/>
  <c r="O1312" i="7"/>
  <c r="P1312" i="7"/>
  <c r="O514" i="7"/>
  <c r="P514" i="7"/>
  <c r="O231" i="7"/>
  <c r="P231" i="7"/>
  <c r="P495" i="7"/>
  <c r="O495" i="7"/>
  <c r="O467" i="7"/>
  <c r="P467" i="7"/>
  <c r="O355" i="7"/>
  <c r="P355" i="7"/>
  <c r="O606" i="7"/>
  <c r="P606" i="7"/>
  <c r="O1408" i="7"/>
  <c r="P1408" i="7"/>
  <c r="O362" i="7"/>
  <c r="P362" i="7"/>
  <c r="O443" i="7"/>
  <c r="P443" i="7"/>
  <c r="P335" i="7"/>
  <c r="O335" i="7"/>
  <c r="P1169" i="7"/>
  <c r="O1169" i="7"/>
  <c r="P295" i="7"/>
  <c r="O295" i="7"/>
  <c r="P872" i="7"/>
  <c r="O872" i="7"/>
  <c r="O1057" i="7"/>
  <c r="P1057" i="7"/>
  <c r="O655" i="7"/>
  <c r="P655" i="7"/>
  <c r="P1425" i="7"/>
  <c r="O1425" i="7"/>
  <c r="P398" i="7"/>
  <c r="O398" i="7"/>
  <c r="P1006" i="7"/>
  <c r="O1006" i="7"/>
  <c r="O64" i="7"/>
  <c r="P64" i="7"/>
  <c r="O952" i="7"/>
  <c r="P952" i="7"/>
  <c r="P1248" i="7"/>
  <c r="O1248" i="7"/>
  <c r="O194" i="7"/>
  <c r="P194" i="7"/>
  <c r="P811" i="7"/>
  <c r="O811" i="7"/>
  <c r="P715" i="7"/>
  <c r="O715" i="7"/>
  <c r="O348" i="7"/>
  <c r="P348" i="7"/>
  <c r="P236" i="7"/>
  <c r="O236" i="7"/>
  <c r="P723" i="7"/>
  <c r="O723" i="7"/>
  <c r="O847" i="7"/>
  <c r="P847" i="7"/>
  <c r="P1096" i="7"/>
  <c r="O1096" i="7"/>
  <c r="O320" i="7"/>
  <c r="P320" i="7"/>
  <c r="P1280" i="7"/>
  <c r="O1280" i="7"/>
  <c r="O1210" i="7"/>
  <c r="P1210" i="7"/>
  <c r="P1117" i="7"/>
  <c r="O1117" i="7"/>
  <c r="P93" i="7"/>
  <c r="O93" i="7"/>
  <c r="O922" i="7"/>
  <c r="P922" i="7"/>
  <c r="O394" i="7"/>
  <c r="P394" i="7"/>
  <c r="O1285" i="7"/>
  <c r="P1285" i="7"/>
  <c r="O1039" i="7"/>
  <c r="P1039" i="7"/>
  <c r="P1153" i="7"/>
  <c r="O1153" i="7"/>
  <c r="P805" i="7"/>
  <c r="O805" i="7"/>
  <c r="O22" i="7"/>
  <c r="P22" i="7"/>
  <c r="P429" i="7"/>
  <c r="O429" i="7"/>
  <c r="P798" i="7"/>
  <c r="O798" i="7"/>
  <c r="P1325" i="7"/>
  <c r="O1325" i="7"/>
  <c r="P1042" i="7"/>
  <c r="O1042" i="7"/>
  <c r="P306" i="7"/>
  <c r="O306" i="7"/>
  <c r="O391" i="7"/>
  <c r="P391" i="7"/>
  <c r="P489" i="7"/>
  <c r="O489" i="7"/>
  <c r="O678" i="7"/>
  <c r="P678" i="7"/>
  <c r="P1120" i="7"/>
  <c r="O1120" i="7"/>
  <c r="P1376" i="7"/>
  <c r="O1376" i="7"/>
  <c r="P488" i="7"/>
  <c r="O488" i="7"/>
  <c r="O283" i="7"/>
  <c r="P283" i="7"/>
  <c r="P786" i="7"/>
  <c r="O786" i="7"/>
  <c r="O95" i="7"/>
  <c r="P95" i="7"/>
  <c r="O1371" i="7"/>
  <c r="P1371" i="7"/>
  <c r="P86" i="7"/>
  <c r="O86" i="7"/>
  <c r="P40" i="7"/>
  <c r="O40" i="7"/>
  <c r="P932" i="7"/>
  <c r="O932" i="7"/>
  <c r="O274" i="7"/>
  <c r="P274" i="7"/>
  <c r="O1097" i="7"/>
  <c r="P1097" i="7"/>
  <c r="O558" i="7"/>
  <c r="P558" i="7"/>
  <c r="P677" i="7"/>
  <c r="O677" i="7"/>
  <c r="P853" i="7"/>
  <c r="O853" i="7"/>
  <c r="P38" i="7"/>
  <c r="O38" i="7"/>
  <c r="P1100" i="7"/>
  <c r="O1100" i="7"/>
  <c r="O393" i="7"/>
  <c r="P393" i="7"/>
  <c r="O934" i="7"/>
  <c r="P934" i="7"/>
  <c r="P585" i="7"/>
  <c r="O585" i="7"/>
  <c r="O795" i="7"/>
  <c r="P795" i="7"/>
  <c r="O1121" i="7"/>
  <c r="P1121" i="7"/>
  <c r="P170" i="7"/>
  <c r="O170" i="7"/>
  <c r="P162" i="7"/>
  <c r="O162" i="7"/>
  <c r="P803" i="7"/>
  <c r="O803" i="7"/>
  <c r="P36" i="7"/>
  <c r="O36" i="7"/>
  <c r="O39" i="7"/>
  <c r="P39" i="7"/>
  <c r="O1043" i="7"/>
  <c r="P1043" i="7"/>
  <c r="P931" i="7"/>
  <c r="O931" i="7"/>
  <c r="O1105" i="7"/>
  <c r="P1105" i="7"/>
  <c r="O852" i="7"/>
  <c r="P852" i="7"/>
  <c r="O579" i="7"/>
  <c r="P579" i="7"/>
  <c r="O1217" i="7"/>
  <c r="P1217" i="7"/>
  <c r="P1370" i="7"/>
  <c r="O1370" i="7"/>
  <c r="P19" i="7"/>
  <c r="O19" i="7"/>
  <c r="P280" i="7"/>
  <c r="O280" i="7"/>
  <c r="O535" i="7"/>
  <c r="P535" i="7"/>
  <c r="P1218" i="7"/>
  <c r="O1218" i="7"/>
  <c r="P674" i="7"/>
  <c r="O674" i="7"/>
  <c r="O1030" i="7"/>
  <c r="P1030" i="7"/>
  <c r="P1374" i="7"/>
  <c r="O1374" i="7"/>
  <c r="O740" i="7"/>
  <c r="P740" i="7"/>
  <c r="P1119" i="7"/>
  <c r="O1119" i="7"/>
  <c r="O538" i="7"/>
  <c r="P538" i="7"/>
  <c r="O16" i="7"/>
  <c r="P16" i="7"/>
  <c r="P491" i="7"/>
  <c r="O491" i="7"/>
  <c r="O98" i="7"/>
  <c r="P98" i="7"/>
  <c r="O1330" i="7"/>
  <c r="P1330" i="7"/>
  <c r="P849" i="7"/>
  <c r="O849" i="7"/>
  <c r="P1369" i="7"/>
  <c r="O1369" i="7"/>
  <c r="P592" i="7"/>
  <c r="O592" i="7"/>
  <c r="P480" i="7"/>
  <c r="O480" i="7"/>
  <c r="P804" i="7"/>
  <c r="O804" i="7"/>
  <c r="P88" i="7"/>
  <c r="O88" i="7"/>
  <c r="O1034" i="7"/>
  <c r="P1034" i="7"/>
  <c r="P632" i="7"/>
  <c r="O632" i="7"/>
  <c r="P1154" i="7"/>
  <c r="O1154" i="7"/>
  <c r="P483" i="7"/>
  <c r="O483" i="7"/>
  <c r="O277" i="7"/>
  <c r="P277" i="7"/>
  <c r="O1110" i="7"/>
  <c r="P1110" i="7"/>
  <c r="O807" i="7"/>
  <c r="P807" i="7"/>
  <c r="O172" i="7"/>
  <c r="P172" i="7"/>
  <c r="P540" i="7"/>
  <c r="O540" i="7"/>
  <c r="O1156" i="7"/>
  <c r="P1156" i="7"/>
  <c r="P182" i="7"/>
  <c r="O182" i="7"/>
  <c r="O468" i="7"/>
  <c r="P468" i="7"/>
  <c r="P874" i="7"/>
  <c r="O874" i="7"/>
  <c r="O1048" i="7"/>
  <c r="P1048" i="7"/>
  <c r="P1334" i="7"/>
  <c r="O1334" i="7"/>
  <c r="P1290" i="7"/>
  <c r="O1290" i="7"/>
  <c r="P1127" i="7"/>
  <c r="O1127" i="7"/>
  <c r="P907" i="7"/>
  <c r="O907" i="7"/>
  <c r="O346" i="7"/>
  <c r="P346" i="7"/>
  <c r="O1182" i="7"/>
  <c r="P1182" i="7"/>
  <c r="P885" i="7"/>
  <c r="O885" i="7"/>
  <c r="O1309" i="7"/>
  <c r="P1309" i="7"/>
  <c r="O1170" i="7"/>
  <c r="P1170" i="7"/>
  <c r="P953" i="7"/>
  <c r="O953" i="7"/>
  <c r="P187" i="7"/>
  <c r="O187" i="7"/>
  <c r="O1233" i="7"/>
  <c r="P1233" i="7"/>
  <c r="P705" i="7"/>
  <c r="O705" i="7"/>
  <c r="O949" i="7"/>
  <c r="P949" i="7"/>
  <c r="O183" i="7"/>
  <c r="P183" i="7"/>
  <c r="O1256" i="7"/>
  <c r="P1256" i="7"/>
  <c r="O1300" i="7"/>
  <c r="P1300" i="7"/>
  <c r="O1135" i="7"/>
  <c r="P1135" i="7"/>
  <c r="O945" i="7"/>
  <c r="P945" i="7"/>
  <c r="P756" i="7"/>
  <c r="O756" i="7"/>
  <c r="O956" i="7"/>
  <c r="P956" i="7"/>
  <c r="O511" i="7"/>
  <c r="P511" i="7"/>
  <c r="O1068" i="7"/>
  <c r="P1068" i="7"/>
  <c r="P1013" i="7"/>
  <c r="O1013" i="7"/>
  <c r="O498" i="7"/>
  <c r="P498" i="7"/>
  <c r="O1397" i="7"/>
  <c r="P1397" i="7"/>
  <c r="P1223" i="7"/>
  <c r="O1223" i="7"/>
  <c r="P1017" i="7"/>
  <c r="O1017" i="7"/>
  <c r="O879" i="7"/>
  <c r="P879" i="7"/>
  <c r="P133" i="7"/>
  <c r="O133" i="7"/>
  <c r="O216" i="7"/>
  <c r="P216" i="7"/>
  <c r="P215" i="7"/>
  <c r="O215" i="7"/>
  <c r="P993" i="7"/>
  <c r="O993" i="7"/>
  <c r="P288" i="7"/>
  <c r="O288" i="7"/>
  <c r="P1081" i="7"/>
  <c r="O1081" i="7"/>
  <c r="O702" i="7"/>
  <c r="P702" i="7"/>
  <c r="O1407" i="7"/>
  <c r="P1407" i="7"/>
  <c r="P701" i="7"/>
  <c r="O701" i="7"/>
  <c r="O610" i="7"/>
  <c r="P610" i="7"/>
  <c r="O208" i="7"/>
  <c r="P208" i="7"/>
  <c r="O611" i="7"/>
  <c r="P611" i="7"/>
  <c r="P503" i="7"/>
  <c r="O503" i="7"/>
  <c r="P338" i="7"/>
  <c r="O338" i="7"/>
  <c r="O1251" i="7"/>
  <c r="P1251" i="7"/>
  <c r="P56" i="7"/>
  <c r="O56" i="7"/>
  <c r="O360" i="7"/>
  <c r="P360" i="7"/>
  <c r="P448" i="7"/>
  <c r="O448" i="7"/>
  <c r="O401" i="7"/>
  <c r="P401" i="7"/>
  <c r="P991" i="7"/>
  <c r="O991" i="7"/>
  <c r="P49" i="7"/>
  <c r="O49" i="7"/>
  <c r="O902" i="7"/>
  <c r="P902" i="7"/>
  <c r="P602" i="7"/>
  <c r="O602" i="7"/>
  <c r="P746" i="7"/>
  <c r="O746" i="7"/>
  <c r="P356" i="7"/>
  <c r="O356" i="7"/>
  <c r="P1404" i="7"/>
  <c r="O1404" i="7"/>
  <c r="O1078" i="7"/>
  <c r="P1078" i="7"/>
  <c r="P751" i="7"/>
  <c r="O751" i="7"/>
  <c r="O1050" i="7"/>
  <c r="P1050" i="7"/>
  <c r="O690" i="7"/>
  <c r="P690" i="7"/>
  <c r="P564" i="7"/>
  <c r="O564" i="7"/>
  <c r="O203" i="7"/>
  <c r="P203" i="7"/>
  <c r="O289" i="7"/>
  <c r="P289" i="7"/>
  <c r="O1063" i="7"/>
  <c r="P1063" i="7"/>
  <c r="O351" i="7"/>
  <c r="P351" i="7"/>
  <c r="O235" i="7"/>
  <c r="P235" i="7"/>
  <c r="O114" i="7"/>
  <c r="P114" i="7"/>
  <c r="P225" i="7"/>
  <c r="O225" i="7"/>
  <c r="O363" i="7"/>
  <c r="P363" i="7"/>
  <c r="P717" i="7"/>
  <c r="O717" i="7"/>
  <c r="O128" i="7"/>
  <c r="P128" i="7"/>
  <c r="O1244" i="7"/>
  <c r="P1244" i="7"/>
  <c r="P745" i="7"/>
  <c r="O745" i="7"/>
  <c r="O190" i="7"/>
  <c r="P190" i="7"/>
  <c r="P762" i="7"/>
  <c r="O762" i="7"/>
  <c r="P815" i="7"/>
  <c r="O815" i="7"/>
  <c r="P437" i="7"/>
  <c r="O437" i="7"/>
  <c r="O458" i="7"/>
  <c r="P458" i="7"/>
  <c r="O1293" i="7"/>
  <c r="P1293" i="7"/>
  <c r="P954" i="7"/>
  <c r="O954" i="7"/>
  <c r="P54" i="7"/>
  <c r="O54" i="7"/>
  <c r="O52" i="7"/>
  <c r="P52" i="7"/>
  <c r="P652" i="7"/>
  <c r="O652" i="7"/>
  <c r="P951" i="7"/>
  <c r="O951" i="7"/>
  <c r="O509" i="7"/>
  <c r="P509" i="7"/>
  <c r="P204" i="7"/>
  <c r="O204" i="7"/>
  <c r="O454" i="7"/>
  <c r="P454" i="7"/>
  <c r="O371" i="7"/>
  <c r="P371" i="7"/>
  <c r="O873" i="7"/>
  <c r="P873" i="7"/>
  <c r="P1252" i="7"/>
  <c r="O1252" i="7"/>
  <c r="O1395" i="7"/>
  <c r="P1395" i="7"/>
  <c r="O1400" i="7"/>
  <c r="P1400" i="7"/>
  <c r="P1313" i="7"/>
  <c r="O1313" i="7"/>
  <c r="O435" i="7"/>
  <c r="P435" i="7"/>
  <c r="O1188" i="7"/>
  <c r="P1188" i="7"/>
  <c r="P462" i="7"/>
  <c r="O462" i="7"/>
  <c r="O184" i="7"/>
  <c r="P184" i="7"/>
  <c r="O213" i="7"/>
  <c r="P213" i="7"/>
  <c r="O350" i="7"/>
  <c r="P350" i="7"/>
  <c r="P1297" i="7"/>
  <c r="O1297" i="7"/>
  <c r="P1355" i="7"/>
  <c r="O1355" i="7"/>
  <c r="P206" i="7"/>
  <c r="O206" i="7"/>
  <c r="O1302" i="7"/>
  <c r="P1302" i="7"/>
  <c r="O958" i="7"/>
  <c r="P958" i="7"/>
  <c r="P1237" i="7"/>
  <c r="O1237" i="7"/>
  <c r="O897" i="7"/>
  <c r="P897" i="7"/>
  <c r="O1176" i="7"/>
  <c r="P1176" i="7"/>
  <c r="P699" i="7"/>
  <c r="O699" i="7"/>
  <c r="O330" i="7"/>
  <c r="P330" i="7"/>
  <c r="O1345" i="7"/>
  <c r="P1345" i="7"/>
  <c r="O1054" i="7"/>
  <c r="P1054" i="7"/>
  <c r="P466" i="7"/>
  <c r="O466" i="7"/>
  <c r="P604" i="7"/>
  <c r="O604" i="7"/>
  <c r="O119" i="7"/>
  <c r="P119" i="7"/>
  <c r="O359" i="7"/>
  <c r="P359" i="7"/>
  <c r="P1187" i="7"/>
  <c r="O1187" i="7"/>
  <c r="O1257" i="7"/>
  <c r="P1257" i="7"/>
  <c r="P772" i="7"/>
  <c r="O772" i="7"/>
  <c r="O703" i="7"/>
  <c r="P703" i="7"/>
  <c r="P998" i="7"/>
  <c r="O998" i="7"/>
  <c r="O603" i="7"/>
  <c r="P603" i="7"/>
  <c r="O939" i="7"/>
  <c r="P939" i="7"/>
  <c r="P336" i="7"/>
  <c r="O336" i="7"/>
  <c r="O1075" i="7"/>
  <c r="P1075" i="7"/>
  <c r="O502" i="7"/>
  <c r="P502" i="7"/>
  <c r="P713" i="7"/>
  <c r="O713" i="7"/>
  <c r="O124" i="7"/>
  <c r="P124" i="7"/>
  <c r="O1240" i="7"/>
  <c r="P1240" i="7"/>
  <c r="P66" i="7"/>
  <c r="O66" i="7"/>
  <c r="O1179" i="7"/>
  <c r="P1179" i="7"/>
  <c r="P1411" i="7"/>
  <c r="O1411" i="7"/>
  <c r="O1124" i="7"/>
  <c r="P1124" i="7"/>
  <c r="P1348" i="7"/>
  <c r="O1348" i="7"/>
  <c r="O877" i="7"/>
  <c r="P877" i="7"/>
  <c r="P453" i="7"/>
  <c r="O453" i="7"/>
  <c r="O763" i="7"/>
  <c r="P763" i="7"/>
  <c r="O1062" i="7"/>
  <c r="P1062" i="7"/>
  <c r="P501" i="7"/>
  <c r="O501" i="7"/>
  <c r="O882" i="7"/>
  <c r="P882" i="7"/>
  <c r="P906" i="7"/>
  <c r="O906" i="7"/>
  <c r="O1424" i="7"/>
  <c r="P1424" i="7"/>
  <c r="O568" i="7"/>
  <c r="P568" i="7"/>
  <c r="P1061" i="7"/>
  <c r="O1061" i="7"/>
  <c r="P1303" i="7"/>
  <c r="O1303" i="7"/>
  <c r="O126" i="7"/>
  <c r="P126" i="7"/>
  <c r="P1066" i="7"/>
  <c r="O1066" i="7"/>
  <c r="P716" i="7"/>
  <c r="O716" i="7"/>
  <c r="P344" i="7"/>
  <c r="O344" i="7"/>
  <c r="O450" i="7"/>
  <c r="P450" i="7"/>
  <c r="P131" i="7"/>
  <c r="O131" i="7"/>
  <c r="O201" i="7"/>
  <c r="P201" i="7"/>
  <c r="O823" i="7"/>
  <c r="P823" i="7"/>
  <c r="O372" i="7"/>
  <c r="P372" i="7"/>
  <c r="P560" i="7"/>
  <c r="O560" i="7"/>
  <c r="P880" i="7"/>
  <c r="O880" i="7"/>
  <c r="O1132" i="7"/>
  <c r="P1132" i="7"/>
  <c r="O1391" i="7"/>
  <c r="P1391" i="7"/>
  <c r="O1065" i="7"/>
  <c r="P1065" i="7"/>
  <c r="O1307" i="7"/>
  <c r="P1307" i="7"/>
  <c r="P1010" i="7"/>
  <c r="O1010" i="7"/>
  <c r="O909" i="7"/>
  <c r="P909" i="7"/>
  <c r="P1018" i="7"/>
  <c r="O1018" i="7"/>
  <c r="P960" i="7"/>
  <c r="O960" i="7"/>
  <c r="O99" i="7"/>
  <c r="P99" i="7"/>
  <c r="O635" i="7"/>
  <c r="P635" i="7"/>
  <c r="P28" i="7"/>
  <c r="O28" i="7"/>
  <c r="P586" i="7"/>
  <c r="O586" i="7"/>
  <c r="O167" i="7"/>
  <c r="P167" i="7"/>
  <c r="P1028" i="7"/>
  <c r="O1028" i="7"/>
  <c r="O18" i="7"/>
  <c r="P18" i="7"/>
  <c r="P929" i="7"/>
  <c r="O929" i="7"/>
  <c r="O35" i="7"/>
  <c r="P35" i="7"/>
  <c r="P671" i="7"/>
  <c r="O671" i="7"/>
  <c r="O543" i="7"/>
  <c r="P543" i="7"/>
  <c r="P788" i="7"/>
  <c r="O788" i="7"/>
  <c r="P1038" i="7"/>
  <c r="O1038" i="7"/>
  <c r="P672" i="7"/>
  <c r="O672" i="7"/>
  <c r="P593" i="7"/>
  <c r="O593" i="7"/>
  <c r="P643" i="7"/>
  <c r="O643" i="7"/>
  <c r="P638" i="7"/>
  <c r="O638" i="7"/>
  <c r="O41" i="7"/>
  <c r="P41" i="7"/>
  <c r="O1274" i="7"/>
  <c r="P1274" i="7"/>
  <c r="P416" i="7"/>
  <c r="O416" i="7"/>
  <c r="O272" i="7"/>
  <c r="P272" i="7"/>
  <c r="P321" i="7"/>
  <c r="O321" i="7"/>
  <c r="P179" i="7"/>
  <c r="O179" i="7"/>
  <c r="P1199" i="7"/>
  <c r="O1199" i="7"/>
  <c r="P428" i="7"/>
  <c r="O428" i="7"/>
  <c r="O21" i="7"/>
  <c r="P21" i="7"/>
  <c r="P413" i="7"/>
  <c r="O413" i="7"/>
  <c r="O1215" i="7"/>
  <c r="P1215" i="7"/>
  <c r="O25" i="7"/>
  <c r="P25" i="7"/>
  <c r="P418" i="7"/>
  <c r="O418" i="7"/>
  <c r="P286" i="7"/>
  <c r="O286" i="7"/>
  <c r="O565" i="7"/>
  <c r="P565" i="7"/>
  <c r="P1357" i="7"/>
  <c r="O1357" i="7"/>
  <c r="O1230" i="7"/>
  <c r="P1230" i="7"/>
  <c r="O1346" i="7"/>
  <c r="P1346" i="7"/>
  <c r="O764" i="7"/>
  <c r="P764" i="7"/>
  <c r="O760" i="7"/>
  <c r="P760" i="7"/>
  <c r="P1001" i="7"/>
  <c r="O1001" i="7"/>
  <c r="O343" i="7"/>
  <c r="P343" i="7"/>
  <c r="P1413" i="7"/>
  <c r="O1413" i="7"/>
  <c r="P895" i="7"/>
  <c r="O895" i="7"/>
  <c r="P296" i="7"/>
  <c r="O296" i="7"/>
  <c r="O513" i="7"/>
  <c r="P513" i="7"/>
  <c r="P46" i="7"/>
  <c r="O46" i="7"/>
  <c r="P1229" i="7"/>
  <c r="O1229" i="7"/>
  <c r="P828" i="7"/>
  <c r="O828" i="7"/>
  <c r="P63" i="7"/>
  <c r="O63" i="7"/>
  <c r="O1172" i="7"/>
  <c r="P1172" i="7"/>
  <c r="P357" i="7"/>
  <c r="O357" i="7"/>
  <c r="O950" i="7"/>
  <c r="P950" i="7"/>
  <c r="P904" i="7"/>
  <c r="O904" i="7"/>
  <c r="O69" i="7"/>
  <c r="P69" i="7"/>
  <c r="O70" i="7"/>
  <c r="P70" i="7"/>
  <c r="O1163" i="7"/>
  <c r="P1163" i="7"/>
  <c r="P1298" i="7"/>
  <c r="O1298" i="7"/>
  <c r="O820" i="7"/>
  <c r="P820" i="7"/>
  <c r="O692" i="7"/>
  <c r="P692" i="7"/>
  <c r="O1410" i="7"/>
  <c r="P1410" i="7"/>
  <c r="O111" i="7"/>
  <c r="P111" i="7"/>
  <c r="P995" i="7"/>
  <c r="O995" i="7"/>
  <c r="O761" i="7"/>
  <c r="P761" i="7"/>
  <c r="P292" i="7"/>
  <c r="O292" i="7"/>
  <c r="O500" i="7"/>
  <c r="P500" i="7"/>
  <c r="P704" i="7"/>
  <c r="O704" i="7"/>
  <c r="P189" i="7"/>
  <c r="O189" i="7"/>
  <c r="O1412" i="7"/>
  <c r="P1412" i="7"/>
  <c r="O220" i="7"/>
  <c r="P220" i="7"/>
  <c r="P65" i="7"/>
  <c r="O65" i="7"/>
  <c r="P900" i="7"/>
  <c r="O900" i="7"/>
  <c r="O758" i="7"/>
  <c r="P758" i="7"/>
  <c r="P370" i="7"/>
  <c r="O370" i="7"/>
  <c r="O910" i="7"/>
  <c r="P910" i="7"/>
  <c r="P711" i="7"/>
  <c r="O711" i="7"/>
  <c r="O399" i="7"/>
  <c r="P399" i="7"/>
  <c r="O653" i="7"/>
  <c r="P653" i="7"/>
  <c r="O1055" i="7"/>
  <c r="P1055" i="7"/>
  <c r="P132" i="7"/>
  <c r="O132" i="7"/>
  <c r="P1343" i="7"/>
  <c r="O1343" i="7"/>
  <c r="O460" i="7"/>
  <c r="P460" i="7"/>
  <c r="P402" i="7"/>
  <c r="O402" i="7"/>
  <c r="O1396" i="7"/>
  <c r="P1396" i="7"/>
  <c r="M1429" i="7"/>
  <c r="N5" i="7" s="1"/>
  <c r="L1437" i="7"/>
  <c r="O485" i="7"/>
  <c r="P485" i="7"/>
  <c r="P174" i="7"/>
  <c r="O174" i="7"/>
  <c r="O24" i="7"/>
  <c r="P24" i="7"/>
  <c r="O1027" i="7"/>
  <c r="P1027" i="7"/>
  <c r="P419" i="7"/>
  <c r="O419" i="7"/>
  <c r="P534" i="7"/>
  <c r="O534" i="7"/>
  <c r="O1102" i="7"/>
  <c r="P1102" i="7"/>
  <c r="O1389" i="7"/>
  <c r="P1389" i="7"/>
  <c r="P596" i="7"/>
  <c r="O596" i="7"/>
  <c r="P1161" i="7"/>
  <c r="O1161" i="7"/>
  <c r="O920" i="7"/>
  <c r="P920" i="7"/>
  <c r="P32" i="7"/>
  <c r="O32" i="7"/>
  <c r="P315" i="7"/>
  <c r="O315" i="7"/>
  <c r="O737" i="7"/>
  <c r="P737" i="7"/>
  <c r="O1101" i="7"/>
  <c r="P1101" i="7"/>
  <c r="P1324" i="7"/>
  <c r="O1324" i="7"/>
  <c r="P729" i="7"/>
  <c r="O729" i="7"/>
  <c r="P680" i="7"/>
  <c r="O680" i="7"/>
  <c r="O493" i="7"/>
  <c r="P493" i="7"/>
  <c r="O801" i="7"/>
  <c r="P801" i="7"/>
  <c r="P484" i="7"/>
  <c r="O484" i="7"/>
  <c r="O281" i="7"/>
  <c r="P281" i="7"/>
  <c r="P90" i="7"/>
  <c r="O90" i="7"/>
  <c r="P979" i="7"/>
  <c r="O979" i="7"/>
  <c r="P738" i="7"/>
  <c r="O738" i="7"/>
  <c r="P981" i="7"/>
  <c r="O981" i="7"/>
  <c r="P270" i="7"/>
  <c r="O270" i="7"/>
  <c r="O743" i="7"/>
  <c r="P743" i="7"/>
  <c r="O736" i="7"/>
  <c r="P736" i="7"/>
  <c r="P1381" i="7"/>
  <c r="O1381" i="7"/>
  <c r="P865" i="7"/>
  <c r="O865" i="7"/>
  <c r="O1033" i="7"/>
  <c r="P1033" i="7"/>
  <c r="P544" i="7"/>
  <c r="O544" i="7"/>
  <c r="P539" i="7"/>
  <c r="O539" i="7"/>
  <c r="O492" i="7"/>
  <c r="P492" i="7"/>
  <c r="P87" i="7"/>
  <c r="O87" i="7"/>
  <c r="P1322" i="7"/>
  <c r="O1322" i="7"/>
  <c r="P1116" i="7"/>
  <c r="O1116" i="7"/>
  <c r="O276" i="7"/>
  <c r="P276" i="7"/>
  <c r="P1035" i="7"/>
  <c r="O1035" i="7"/>
  <c r="P973" i="7"/>
  <c r="O973" i="7"/>
  <c r="P982" i="7"/>
  <c r="O982" i="7"/>
  <c r="P309" i="7"/>
  <c r="O309" i="7"/>
  <c r="P851" i="7"/>
  <c r="O851" i="7"/>
  <c r="O1284" i="7"/>
  <c r="P1284" i="7"/>
  <c r="P547" i="7"/>
  <c r="O547" i="7"/>
  <c r="P414" i="7"/>
  <c r="O414" i="7"/>
  <c r="P395" i="7"/>
  <c r="O395" i="7"/>
  <c r="O799" i="7"/>
  <c r="P799" i="7"/>
  <c r="P1372" i="7"/>
  <c r="O1372" i="7"/>
  <c r="O582" i="7"/>
  <c r="P582" i="7"/>
  <c r="P767" i="7"/>
  <c r="O767" i="7"/>
  <c r="P105" i="7"/>
  <c r="O105" i="7"/>
  <c r="O196" i="7"/>
  <c r="P196" i="7"/>
  <c r="O831" i="7"/>
  <c r="P831" i="7"/>
  <c r="O1165" i="7"/>
  <c r="P1165" i="7"/>
  <c r="P74" i="7"/>
  <c r="O74" i="7"/>
  <c r="O937" i="7"/>
  <c r="P937" i="7"/>
  <c r="P109" i="7"/>
  <c r="O109" i="7"/>
  <c r="P1421" i="7"/>
  <c r="O1421" i="7"/>
  <c r="P1084" i="7"/>
  <c r="O1084" i="7"/>
  <c r="O73" i="7"/>
  <c r="P73" i="7"/>
  <c r="P1292" i="7"/>
  <c r="O1292" i="7"/>
  <c r="O1072" i="7"/>
  <c r="P1072" i="7"/>
  <c r="P891" i="7"/>
  <c r="O891" i="7"/>
  <c r="P125" i="7"/>
  <c r="O125" i="7"/>
  <c r="P232" i="7"/>
  <c r="O232" i="7"/>
  <c r="P1405" i="7"/>
  <c r="O1405" i="7"/>
  <c r="P887" i="7"/>
  <c r="O887" i="7"/>
  <c r="O940" i="7"/>
  <c r="P940" i="7"/>
  <c r="P1417" i="7"/>
  <c r="O1417" i="7"/>
  <c r="O1243" i="7"/>
  <c r="P1243" i="7"/>
  <c r="P1080" i="7"/>
  <c r="O1080" i="7"/>
  <c r="P899" i="7"/>
  <c r="O899" i="7"/>
  <c r="P195" i="7"/>
  <c r="O195" i="7"/>
  <c r="P1168" i="7"/>
  <c r="O1168" i="7"/>
  <c r="O712" i="7"/>
  <c r="P712" i="7"/>
  <c r="P121" i="7"/>
  <c r="O121" i="7"/>
  <c r="O464" i="7"/>
  <c r="P464" i="7"/>
  <c r="P829" i="7"/>
  <c r="O829" i="7"/>
  <c r="P1350" i="7"/>
  <c r="O1350" i="7"/>
  <c r="P1174" i="7"/>
  <c r="O1174" i="7"/>
  <c r="O997" i="7"/>
  <c r="P997" i="7"/>
  <c r="P826" i="7"/>
  <c r="O826" i="7"/>
  <c r="P112" i="7"/>
  <c r="O112" i="7"/>
  <c r="P365" i="7"/>
  <c r="O365" i="7"/>
  <c r="P108" i="7"/>
  <c r="O108" i="7"/>
  <c r="O134" i="7"/>
  <c r="P134" i="7"/>
  <c r="P44" i="7"/>
  <c r="O44" i="7"/>
  <c r="P226" i="7"/>
  <c r="O226" i="7"/>
  <c r="O50" i="7"/>
  <c r="P50" i="7"/>
  <c r="P754" i="7"/>
  <c r="O754" i="7"/>
  <c r="P905" i="7"/>
  <c r="O905" i="7"/>
  <c r="P1344" i="7"/>
  <c r="O1344" i="7"/>
  <c r="P230" i="7"/>
  <c r="O230" i="7"/>
  <c r="O120" i="7"/>
  <c r="P120" i="7"/>
  <c r="O1241" i="7"/>
  <c r="P1241" i="7"/>
  <c r="P697" i="7"/>
  <c r="O697" i="7"/>
  <c r="P1342" i="7"/>
  <c r="O1342" i="7"/>
  <c r="O48" i="7"/>
  <c r="P48" i="7"/>
  <c r="O373" i="7"/>
  <c r="P373" i="7"/>
  <c r="O113" i="7"/>
  <c r="P113" i="7"/>
  <c r="O884" i="7"/>
  <c r="P884" i="7"/>
  <c r="P1008" i="7"/>
  <c r="O1008" i="7"/>
  <c r="P47" i="7"/>
  <c r="O47" i="7"/>
  <c r="P1422" i="7"/>
  <c r="O1422" i="7"/>
  <c r="O1073" i="7"/>
  <c r="P1073" i="7"/>
  <c r="O1336" i="7"/>
  <c r="P1336" i="7"/>
  <c r="P1045" i="7"/>
  <c r="O1045" i="7"/>
  <c r="N1044" i="7"/>
  <c r="P695" i="7"/>
  <c r="O695" i="7"/>
  <c r="O293" i="7"/>
  <c r="P293" i="7"/>
  <c r="O1341" i="7"/>
  <c r="P1341" i="7"/>
  <c r="P212" i="7"/>
  <c r="O212" i="7"/>
  <c r="P456" i="7"/>
  <c r="O456" i="7"/>
  <c r="P198" i="7"/>
  <c r="O198" i="7"/>
  <c r="O1311" i="7"/>
  <c r="P1311" i="7"/>
  <c r="O1337" i="7"/>
  <c r="P1337" i="7"/>
  <c r="P345" i="7"/>
  <c r="O345" i="7"/>
  <c r="P75" i="7"/>
  <c r="O75" i="7"/>
  <c r="P516" i="7"/>
  <c r="O516" i="7"/>
  <c r="O722" i="7"/>
  <c r="P722" i="7"/>
  <c r="P948" i="7"/>
  <c r="O948" i="7"/>
  <c r="O1051" i="7"/>
  <c r="P1051" i="7"/>
  <c r="P451" i="7"/>
  <c r="O451" i="7"/>
  <c r="O818" i="7"/>
  <c r="P818" i="7"/>
  <c r="P368" i="7"/>
  <c r="O368" i="7"/>
  <c r="O1339" i="7"/>
  <c r="P1339" i="7"/>
  <c r="P1415" i="7"/>
  <c r="O1415" i="7"/>
  <c r="P753" i="7"/>
  <c r="O753" i="7"/>
  <c r="P436" i="7"/>
  <c r="O436" i="7"/>
  <c r="P102" i="7"/>
  <c r="O102" i="7"/>
  <c r="P139" i="7"/>
  <c r="O139" i="7"/>
  <c r="O601" i="7"/>
  <c r="P601" i="7"/>
  <c r="P1358" i="7"/>
  <c r="O1358" i="7"/>
  <c r="O61" i="7"/>
  <c r="P61" i="7"/>
  <c r="P706" i="7"/>
  <c r="O706" i="7"/>
  <c r="P1242" i="7"/>
  <c r="O1242" i="7"/>
  <c r="O68" i="7"/>
  <c r="P68" i="7"/>
  <c r="O1181" i="7"/>
  <c r="P1181" i="7"/>
  <c r="O890" i="7"/>
  <c r="P890" i="7"/>
  <c r="P233" i="7"/>
  <c r="O233" i="7"/>
  <c r="O1059" i="7"/>
  <c r="P1059" i="7"/>
  <c r="O341" i="7"/>
  <c r="P341" i="7"/>
  <c r="P1347" i="7"/>
  <c r="O1347" i="7"/>
  <c r="P1069" i="7"/>
  <c r="O1069" i="7"/>
  <c r="P1074" i="7"/>
  <c r="O1074" i="7"/>
  <c r="O1130" i="7"/>
  <c r="P1130" i="7"/>
  <c r="O1228" i="7"/>
  <c r="P1228" i="7"/>
  <c r="O1315" i="7"/>
  <c r="P1315" i="7"/>
  <c r="O1134" i="7"/>
  <c r="P1134" i="7"/>
  <c r="P600" i="7"/>
  <c r="O600" i="7"/>
  <c r="O936" i="7"/>
  <c r="P936" i="7"/>
  <c r="O1012" i="7"/>
  <c r="P1012" i="7"/>
  <c r="P234" i="7"/>
  <c r="O234" i="7"/>
  <c r="P605" i="7"/>
  <c r="O605" i="7"/>
  <c r="O892" i="7"/>
  <c r="P892" i="7"/>
  <c r="P499" i="7"/>
  <c r="O499" i="7"/>
  <c r="O824" i="7"/>
  <c r="P824" i="7"/>
  <c r="O444" i="7"/>
  <c r="P444" i="7"/>
  <c r="O750" i="7"/>
  <c r="P750" i="7"/>
  <c r="P361" i="7"/>
  <c r="O361" i="7"/>
  <c r="O1291" i="7"/>
  <c r="P1291" i="7"/>
  <c r="O994" i="7"/>
  <c r="P994" i="7"/>
  <c r="P599" i="7"/>
  <c r="O599" i="7"/>
  <c r="O903" i="7"/>
  <c r="P903" i="7"/>
  <c r="O331" i="7"/>
  <c r="P331" i="7"/>
  <c r="P438" i="7"/>
  <c r="O438" i="7"/>
  <c r="O354" i="7"/>
  <c r="P354" i="7"/>
  <c r="O709" i="7"/>
  <c r="P709" i="7"/>
  <c r="P1253" i="7"/>
  <c r="O1253" i="7"/>
  <c r="P567" i="7"/>
  <c r="O567" i="7"/>
  <c r="O1427" i="7"/>
  <c r="P1427" i="7"/>
  <c r="O1295" i="7"/>
  <c r="P1295" i="7"/>
  <c r="P118" i="7"/>
  <c r="O118" i="7"/>
  <c r="O366" i="7"/>
  <c r="P366" i="7"/>
  <c r="O708" i="7"/>
  <c r="P708" i="7"/>
  <c r="P192" i="7"/>
  <c r="O192" i="7"/>
  <c r="O221" i="7"/>
  <c r="P221" i="7"/>
  <c r="P358" i="7"/>
  <c r="O358" i="7"/>
  <c r="O1305" i="7"/>
  <c r="P1305" i="7"/>
  <c r="P814" i="7"/>
  <c r="O814" i="7"/>
  <c r="P364" i="7"/>
  <c r="O364" i="7"/>
  <c r="P718" i="7"/>
  <c r="O718" i="7"/>
  <c r="P334" i="7"/>
  <c r="O334" i="7"/>
  <c r="O651" i="7"/>
  <c r="P651" i="7"/>
  <c r="P219" i="7"/>
  <c r="O219" i="7"/>
  <c r="O508" i="7"/>
  <c r="P508" i="7"/>
  <c r="P1416" i="7"/>
  <c r="O1416" i="7"/>
  <c r="P1129" i="7"/>
  <c r="O1129" i="7"/>
  <c r="P1353" i="7"/>
  <c r="O1353" i="7"/>
  <c r="O224" i="7"/>
  <c r="P224" i="7"/>
  <c r="O1173" i="7"/>
  <c r="P1173" i="7"/>
  <c r="P649" i="7"/>
  <c r="O649" i="7"/>
  <c r="O237" i="7"/>
  <c r="P237" i="7"/>
  <c r="O768" i="7"/>
  <c r="P768" i="7"/>
  <c r="P512" i="7"/>
  <c r="O512" i="7"/>
  <c r="P881" i="7"/>
  <c r="O881" i="7"/>
  <c r="P457" i="7"/>
  <c r="O457" i="7"/>
  <c r="O1392" i="7"/>
  <c r="P1392" i="7"/>
  <c r="O228" i="7"/>
  <c r="P228" i="7"/>
  <c r="O1308" i="7"/>
  <c r="P1308" i="7"/>
  <c r="O1011" i="7"/>
  <c r="P1011" i="7"/>
  <c r="O1083" i="7"/>
  <c r="P1083" i="7"/>
  <c r="O510" i="7"/>
  <c r="P510" i="7"/>
  <c r="O337" i="7"/>
  <c r="P337" i="7"/>
  <c r="O1406" i="7"/>
  <c r="P1406" i="7"/>
  <c r="P222" i="7"/>
  <c r="O222" i="7"/>
  <c r="O1220" i="7"/>
  <c r="P1220" i="7"/>
  <c r="P1419" i="7"/>
  <c r="O1419" i="7"/>
  <c r="O227" i="7"/>
  <c r="P227" i="7"/>
  <c r="P561" i="7"/>
  <c r="O561" i="7"/>
  <c r="P199" i="7"/>
  <c r="O199" i="7"/>
  <c r="P461" i="7"/>
  <c r="O461" i="7"/>
  <c r="O130" i="7"/>
  <c r="P130" i="7"/>
  <c r="O515" i="7"/>
  <c r="P515" i="7"/>
  <c r="O141" i="7"/>
  <c r="P141" i="7"/>
  <c r="P469" i="7"/>
  <c r="O469" i="7"/>
  <c r="P588" i="7"/>
  <c r="O588" i="7"/>
  <c r="O1388" i="7"/>
  <c r="P1388" i="7"/>
  <c r="O423" i="7"/>
  <c r="P423" i="7"/>
  <c r="P924" i="7"/>
  <c r="O924" i="7"/>
  <c r="P686" i="7"/>
  <c r="O686" i="7"/>
  <c r="P591" i="7"/>
  <c r="O591" i="7"/>
  <c r="P1147" i="7"/>
  <c r="O1147" i="7"/>
  <c r="O863" i="7"/>
  <c r="P863" i="7"/>
  <c r="P424" i="7"/>
  <c r="O424" i="7"/>
  <c r="P1385" i="7"/>
  <c r="O1385" i="7"/>
  <c r="O682" i="7"/>
  <c r="P682" i="7"/>
  <c r="P284" i="7"/>
  <c r="O284" i="7"/>
  <c r="O551" i="7"/>
  <c r="P551" i="7"/>
  <c r="P541" i="7"/>
  <c r="O541" i="7"/>
  <c r="O577" i="7"/>
  <c r="P577" i="7"/>
  <c r="O387" i="7"/>
  <c r="P387" i="7"/>
  <c r="P33" i="7"/>
  <c r="O33" i="7"/>
  <c r="O94" i="7"/>
  <c r="P94" i="7"/>
  <c r="P1331" i="7"/>
  <c r="O1331" i="7"/>
  <c r="O550" i="7"/>
  <c r="P550" i="7"/>
  <c r="P1288" i="7"/>
  <c r="O1288" i="7"/>
  <c r="P85" i="7"/>
  <c r="O85" i="7"/>
  <c r="P1151" i="7"/>
  <c r="O1151" i="7"/>
  <c r="O549" i="7"/>
  <c r="P549" i="7"/>
  <c r="P850" i="7"/>
  <c r="O850" i="7"/>
  <c r="P1104" i="7"/>
  <c r="O1104" i="7"/>
  <c r="O388" i="7"/>
  <c r="P388" i="7"/>
  <c r="O928" i="7"/>
  <c r="P928" i="7"/>
  <c r="O327" i="7"/>
  <c r="P327" i="7"/>
  <c r="O793" i="7"/>
  <c r="P793" i="7"/>
  <c r="O734" i="7"/>
  <c r="P734" i="7"/>
  <c r="P860" i="7"/>
  <c r="O860" i="7"/>
  <c r="O590" i="7"/>
  <c r="P590" i="7"/>
  <c r="O1114" i="7"/>
  <c r="P1114" i="7"/>
  <c r="P633" i="7"/>
  <c r="O633" i="7"/>
  <c r="P583" i="7"/>
  <c r="O583" i="7"/>
  <c r="P1329" i="7"/>
  <c r="O1329" i="7"/>
  <c r="P420" i="7"/>
  <c r="O420" i="7"/>
  <c r="P1205" i="7"/>
  <c r="O1205" i="7"/>
  <c r="P384" i="7"/>
  <c r="O384" i="7"/>
  <c r="P645" i="7"/>
  <c r="O645" i="7"/>
  <c r="O857" i="7"/>
  <c r="P857" i="7"/>
  <c r="P273" i="7"/>
  <c r="O273" i="7"/>
  <c r="O732" i="7"/>
  <c r="P732" i="7"/>
  <c r="O1332" i="7"/>
  <c r="P1332" i="7"/>
  <c r="P1278" i="7"/>
  <c r="O1278" i="7"/>
  <c r="O282" i="7"/>
  <c r="P282" i="7"/>
  <c r="P324" i="7"/>
  <c r="O324" i="7"/>
  <c r="P175" i="7"/>
  <c r="O175" i="7"/>
  <c r="O867" i="7"/>
  <c r="P867" i="7"/>
  <c r="O648" i="7"/>
  <c r="P648" i="7"/>
  <c r="O1255" i="7"/>
  <c r="P1255" i="7"/>
  <c r="P992" i="7"/>
  <c r="O992" i="7"/>
  <c r="P1426" i="7"/>
  <c r="O1426" i="7"/>
  <c r="P608" i="7"/>
  <c r="O608" i="7"/>
  <c r="P1009" i="7"/>
  <c r="O1009" i="7"/>
  <c r="O1046" i="7"/>
  <c r="P1046" i="7"/>
  <c r="P1005" i="7"/>
  <c r="O1005" i="7"/>
  <c r="O812" i="7"/>
  <c r="P812" i="7"/>
  <c r="P1178" i="7"/>
  <c r="O1178" i="7"/>
  <c r="O117" i="7"/>
  <c r="P117" i="7"/>
  <c r="P1166" i="7"/>
  <c r="O1166" i="7"/>
  <c r="O1047" i="7"/>
  <c r="P1047" i="7"/>
  <c r="P1060" i="7"/>
  <c r="O1060" i="7"/>
  <c r="P1184" i="7"/>
  <c r="O1184" i="7"/>
  <c r="P210" i="7"/>
  <c r="O210" i="7"/>
  <c r="O1053" i="7"/>
  <c r="P1053" i="7"/>
  <c r="P563" i="7"/>
  <c r="O563" i="7"/>
  <c r="P1310" i="7"/>
  <c r="O1310" i="7"/>
  <c r="P896" i="7"/>
  <c r="O896" i="7"/>
  <c r="P724" i="7"/>
  <c r="O724" i="7"/>
  <c r="O765" i="7"/>
  <c r="P765" i="7"/>
  <c r="P955" i="7"/>
  <c r="O955" i="7"/>
  <c r="P59" i="7"/>
  <c r="O59" i="7"/>
  <c r="O893" i="7"/>
  <c r="P893" i="7"/>
  <c r="O441" i="7"/>
  <c r="P441" i="7"/>
  <c r="O106" i="7"/>
  <c r="P106" i="7"/>
  <c r="O1352" i="7"/>
  <c r="P1352" i="7"/>
  <c r="P691" i="7"/>
  <c r="O691" i="7"/>
  <c r="O757" i="7"/>
  <c r="P757" i="7"/>
  <c r="P1079" i="7"/>
  <c r="O1079" i="7"/>
  <c r="P506" i="7"/>
  <c r="O506" i="7"/>
  <c r="O654" i="7"/>
  <c r="P654" i="7"/>
  <c r="P942" i="7"/>
  <c r="O942" i="7"/>
  <c r="O821" i="7"/>
  <c r="P821" i="7"/>
  <c r="O140" i="7"/>
  <c r="P140" i="7"/>
  <c r="O53" i="7"/>
  <c r="P53" i="7"/>
  <c r="O1070" i="7"/>
  <c r="P1070" i="7"/>
  <c r="O1015" i="7"/>
  <c r="P1015" i="7"/>
  <c r="O107" i="7"/>
  <c r="P107" i="7"/>
  <c r="P352" i="7"/>
  <c r="O352" i="7"/>
  <c r="P353" i="7"/>
  <c r="O353" i="7"/>
  <c r="P700" i="7"/>
  <c r="O700" i="7"/>
  <c r="P1067" i="7"/>
  <c r="O1067" i="7"/>
  <c r="P1418" i="7"/>
  <c r="O1418" i="7"/>
  <c r="O710" i="7"/>
  <c r="P710" i="7"/>
  <c r="O211" i="7"/>
  <c r="P211" i="7"/>
  <c r="O1082" i="7"/>
  <c r="P1082" i="7"/>
  <c r="P755" i="7"/>
  <c r="O755" i="7"/>
  <c r="P188" i="7"/>
  <c r="O188" i="7"/>
  <c r="P217" i="7"/>
  <c r="O217" i="7"/>
  <c r="P517" i="7"/>
  <c r="O517" i="7"/>
  <c r="P1359" i="7"/>
  <c r="O1359" i="7"/>
  <c r="O1349" i="7"/>
  <c r="P1349" i="7"/>
  <c r="P442" i="7"/>
  <c r="O442" i="7"/>
  <c r="O123" i="7"/>
  <c r="P123" i="7"/>
  <c r="O650" i="7"/>
  <c r="P650" i="7"/>
  <c r="P507" i="7"/>
  <c r="O507" i="7"/>
  <c r="P452" i="7"/>
  <c r="O452" i="7"/>
  <c r="P1299" i="7"/>
  <c r="O1299" i="7"/>
  <c r="P122" i="7"/>
  <c r="O122" i="7"/>
  <c r="P1007" i="7"/>
  <c r="O1007" i="7"/>
  <c r="O908" i="7"/>
  <c r="P908" i="7"/>
  <c r="P1177" i="7"/>
  <c r="O1177" i="7"/>
  <c r="P675" i="7"/>
  <c r="O675" i="7"/>
  <c r="O27" i="7"/>
  <c r="P27" i="7"/>
  <c r="P328" i="7"/>
  <c r="O328" i="7"/>
  <c r="P1211" i="7"/>
  <c r="O1211" i="7"/>
  <c r="P490" i="7"/>
  <c r="O490" i="7"/>
  <c r="P1144" i="7"/>
  <c r="O1144" i="7"/>
  <c r="O634" i="7"/>
  <c r="P634" i="7"/>
  <c r="O862" i="7"/>
  <c r="P862" i="7"/>
  <c r="O1099" i="7"/>
  <c r="P1099" i="7"/>
  <c r="O685" i="7"/>
  <c r="P685" i="7"/>
  <c r="P1276" i="7"/>
  <c r="O1276" i="7"/>
  <c r="O987" i="7"/>
  <c r="P987" i="7"/>
  <c r="P597" i="7"/>
  <c r="O597" i="7"/>
  <c r="P681" i="7"/>
  <c r="O681" i="7"/>
  <c r="O578" i="7"/>
  <c r="P578" i="7"/>
  <c r="P1382" i="7"/>
  <c r="O1382" i="7"/>
  <c r="P1201" i="7"/>
  <c r="O1201" i="7"/>
  <c r="O34" i="7"/>
  <c r="P34" i="7"/>
  <c r="P1041" i="7"/>
  <c r="O1041" i="7"/>
  <c r="P271" i="7"/>
  <c r="O271" i="7"/>
  <c r="O1212" i="7"/>
  <c r="P1212" i="7"/>
  <c r="P687" i="7"/>
  <c r="O687" i="7"/>
  <c r="P487" i="7"/>
  <c r="O487" i="7"/>
  <c r="O630" i="7"/>
  <c r="P630" i="7"/>
  <c r="P784" i="7"/>
  <c r="O784" i="7"/>
  <c r="O29" i="7"/>
  <c r="P29" i="7"/>
  <c r="O1207" i="7"/>
  <c r="P1207" i="7"/>
  <c r="O808" i="7"/>
  <c r="P808" i="7"/>
  <c r="O422" i="7"/>
  <c r="P422" i="7"/>
  <c r="O1040" i="7"/>
  <c r="P1040" i="7"/>
  <c r="P1206" i="7"/>
  <c r="O1206" i="7"/>
  <c r="O640" i="7"/>
  <c r="P640" i="7"/>
  <c r="O744" i="7"/>
  <c r="P744" i="7"/>
  <c r="P921" i="7"/>
  <c r="O921" i="7"/>
  <c r="O1279" i="7"/>
  <c r="P1279" i="7"/>
  <c r="P161" i="7"/>
  <c r="O161" i="7"/>
  <c r="O481" i="7"/>
  <c r="P481" i="7"/>
  <c r="O316" i="7"/>
  <c r="P316" i="7"/>
  <c r="P1380" i="7"/>
  <c r="O1380" i="7"/>
  <c r="P17" i="7"/>
  <c r="O17" i="7"/>
  <c r="P727" i="7"/>
  <c r="O727" i="7"/>
  <c r="P855" i="7"/>
  <c r="O855" i="7"/>
  <c r="O556" i="7"/>
  <c r="P556" i="7"/>
  <c r="O584" i="7"/>
  <c r="P584" i="7"/>
  <c r="O790" i="7"/>
  <c r="P790" i="7"/>
  <c r="O431" i="7"/>
  <c r="P431" i="7"/>
  <c r="P1160" i="7"/>
  <c r="O1160" i="7"/>
  <c r="P396" i="7"/>
  <c r="O396" i="7"/>
  <c r="P980" i="7"/>
  <c r="O980" i="7"/>
  <c r="P91" i="7"/>
  <c r="O91" i="7"/>
  <c r="O730" i="7"/>
  <c r="P730" i="7"/>
  <c r="P176" i="7"/>
  <c r="O176" i="7"/>
  <c r="P1158" i="7"/>
  <c r="O1158" i="7"/>
  <c r="P1122" i="7"/>
  <c r="O1122" i="7"/>
  <c r="O275" i="7"/>
  <c r="P275" i="7"/>
  <c r="P1384" i="7"/>
  <c r="O1384" i="7"/>
  <c r="O642" i="7"/>
  <c r="P642" i="7"/>
  <c r="P735" i="7"/>
  <c r="O735" i="7"/>
  <c r="O317" i="7"/>
  <c r="P317" i="7"/>
  <c r="P557" i="7"/>
  <c r="O557" i="7"/>
  <c r="O1032" i="7"/>
  <c r="P1032" i="7"/>
  <c r="P180" i="7"/>
  <c r="O180" i="7"/>
  <c r="O870" i="7"/>
  <c r="P870" i="7"/>
  <c r="P933" i="7"/>
  <c r="O933" i="7"/>
  <c r="P165" i="7"/>
  <c r="O165" i="7"/>
  <c r="O1115" i="7"/>
  <c r="P1115" i="7"/>
  <c r="O326" i="7"/>
  <c r="P326" i="7"/>
  <c r="O1155" i="7"/>
  <c r="P1155" i="7"/>
  <c r="P1149" i="7"/>
  <c r="O1149" i="7"/>
  <c r="P785" i="7"/>
  <c r="O785" i="7"/>
  <c r="P168" i="7"/>
  <c r="O168" i="7"/>
  <c r="O673" i="7"/>
  <c r="P673" i="7"/>
  <c r="P542" i="7"/>
  <c r="O542" i="7"/>
  <c r="P285" i="7"/>
  <c r="O285" i="7"/>
  <c r="P1106" i="7"/>
  <c r="O1106" i="7"/>
  <c r="P1275" i="7"/>
  <c r="O1275" i="7"/>
  <c r="P169" i="7"/>
  <c r="O169" i="7"/>
  <c r="O1029" i="7"/>
  <c r="P1029" i="7"/>
  <c r="P1118" i="7"/>
  <c r="O1118" i="7"/>
  <c r="O486" i="7"/>
  <c r="P486" i="7"/>
  <c r="O100" i="7"/>
  <c r="P100" i="7"/>
  <c r="P1368" i="7"/>
  <c r="O1368" i="7"/>
  <c r="P728" i="7"/>
  <c r="O728" i="7"/>
  <c r="P1386" i="7"/>
  <c r="O1386" i="7"/>
  <c r="O1283" i="7"/>
  <c r="P1283" i="7"/>
  <c r="O809" i="7"/>
  <c r="P809" i="7"/>
  <c r="O171" i="7"/>
  <c r="P171" i="7"/>
  <c r="P1379" i="7"/>
  <c r="O1379" i="7"/>
  <c r="P726" i="7"/>
  <c r="O726" i="7"/>
  <c r="P676" i="7"/>
  <c r="O676" i="7"/>
  <c r="P848" i="7"/>
  <c r="O848" i="7"/>
  <c r="P639" i="7"/>
  <c r="O639" i="7"/>
  <c r="P644" i="7"/>
  <c r="O644" i="7"/>
  <c r="O1271" i="7"/>
  <c r="P1271" i="7"/>
  <c r="O789" i="7"/>
  <c r="P789" i="7"/>
  <c r="P925" i="7"/>
  <c r="O925" i="7"/>
  <c r="O1270" i="7"/>
  <c r="P1270" i="7"/>
  <c r="P796" i="7"/>
  <c r="O796" i="7"/>
  <c r="O869" i="7"/>
  <c r="P869" i="7"/>
  <c r="P985" i="7"/>
  <c r="O985" i="7"/>
  <c r="O1146" i="7"/>
  <c r="P1146" i="7"/>
  <c r="P927" i="7"/>
  <c r="O927" i="7"/>
  <c r="P546" i="7"/>
  <c r="O546" i="7"/>
  <c r="O792" i="7"/>
  <c r="P792" i="7"/>
  <c r="P31" i="7"/>
  <c r="O31" i="7"/>
  <c r="P739" i="7"/>
  <c r="O739" i="7"/>
  <c r="P1287" i="7"/>
  <c r="O1287" i="7"/>
  <c r="P279" i="7"/>
  <c r="O279" i="7"/>
  <c r="O868" i="7"/>
  <c r="P868" i="7"/>
  <c r="P23" i="7"/>
  <c r="O23" i="7"/>
  <c r="O385" i="7"/>
  <c r="P385" i="7"/>
  <c r="P854" i="7"/>
  <c r="O854" i="7"/>
  <c r="P322" i="7"/>
  <c r="O322" i="7"/>
  <c r="O178" i="7"/>
  <c r="P178" i="7"/>
  <c r="O641" i="7"/>
  <c r="P641" i="7"/>
  <c r="O683" i="7"/>
  <c r="P683" i="7"/>
  <c r="P164" i="7"/>
  <c r="O164" i="7"/>
  <c r="O1112" i="7"/>
  <c r="P1112" i="7"/>
  <c r="O1286" i="7"/>
  <c r="P1286" i="7"/>
  <c r="P688" i="7"/>
  <c r="O688" i="7"/>
  <c r="O325" i="7"/>
  <c r="P325" i="7"/>
  <c r="P545" i="7"/>
  <c r="O545" i="7"/>
  <c r="P859" i="7"/>
  <c r="O859" i="7"/>
  <c r="P26" i="7"/>
  <c r="O26" i="7"/>
  <c r="P163" i="7"/>
  <c r="O163" i="7"/>
  <c r="P800" i="7"/>
  <c r="O800" i="7"/>
  <c r="P37" i="7"/>
  <c r="O37" i="7"/>
  <c r="O669" i="7"/>
  <c r="P669" i="7"/>
  <c r="P389" i="7"/>
  <c r="O389" i="7"/>
  <c r="O684" i="7"/>
  <c r="P684" i="7"/>
  <c r="P1383" i="7"/>
  <c r="O1383" i="7"/>
  <c r="O646" i="7"/>
  <c r="P646" i="7"/>
  <c r="O1031" i="7"/>
  <c r="P1031" i="7"/>
  <c r="P96" i="7"/>
  <c r="O96" i="7"/>
  <c r="P858" i="7"/>
  <c r="O858" i="7"/>
  <c r="P1202" i="7"/>
  <c r="O1202" i="7"/>
  <c r="P323" i="7"/>
  <c r="O323" i="7"/>
  <c r="O554" i="7"/>
  <c r="P554" i="7"/>
  <c r="P1108" i="7"/>
  <c r="O1108" i="7"/>
  <c r="O166" i="7"/>
  <c r="P166" i="7"/>
  <c r="O1216" i="7"/>
  <c r="P1216" i="7"/>
  <c r="P1326" i="7"/>
  <c r="O1326" i="7"/>
  <c r="O314" i="7"/>
  <c r="P314" i="7"/>
  <c r="O430" i="7"/>
  <c r="P430" i="7"/>
  <c r="P974" i="7"/>
  <c r="O974" i="7"/>
  <c r="O595" i="7"/>
  <c r="P595" i="7"/>
  <c r="O1281" i="7"/>
  <c r="P1281" i="7"/>
  <c r="O425" i="7"/>
  <c r="P425" i="7"/>
  <c r="O552" i="7"/>
  <c r="P552" i="7"/>
  <c r="P731" i="7"/>
  <c r="O731" i="7"/>
  <c r="O97" i="7"/>
  <c r="P97" i="7"/>
  <c r="O988" i="7"/>
  <c r="P988" i="7"/>
  <c r="P1328" i="7"/>
  <c r="O1328" i="7"/>
  <c r="P787" i="7"/>
  <c r="O787" i="7"/>
  <c r="P30" i="7"/>
  <c r="O30" i="7"/>
  <c r="O866" i="7"/>
  <c r="P866" i="7"/>
  <c r="O976" i="7"/>
  <c r="P976" i="7"/>
  <c r="P1209" i="7"/>
  <c r="O1209" i="7"/>
  <c r="P311" i="7"/>
  <c r="O311" i="7"/>
  <c r="P536" i="7"/>
  <c r="O536" i="7"/>
  <c r="O1323" i="7"/>
  <c r="P1323" i="7"/>
  <c r="O1113" i="7"/>
  <c r="P1113" i="7"/>
  <c r="O802" i="7"/>
  <c r="P802" i="7"/>
  <c r="P173" i="7"/>
  <c r="O173" i="7"/>
  <c r="O1387" i="7"/>
  <c r="P1387" i="7"/>
  <c r="P791" i="7"/>
  <c r="O791" i="7"/>
  <c r="P310" i="7"/>
  <c r="O310" i="7"/>
  <c r="O978" i="7"/>
  <c r="P978" i="7"/>
  <c r="P307" i="7"/>
  <c r="O307" i="7"/>
  <c r="P415" i="7"/>
  <c r="O415" i="7"/>
  <c r="P1277" i="7"/>
  <c r="O1277" i="7"/>
  <c r="P1272" i="7"/>
  <c r="O1272" i="7"/>
  <c r="P919" i="7"/>
  <c r="O919" i="7"/>
  <c r="P1103" i="7"/>
  <c r="O1103" i="7"/>
  <c r="P1214" i="7"/>
  <c r="O1214" i="7"/>
  <c r="P426" i="7"/>
  <c r="O426" i="7"/>
  <c r="P1269" i="7"/>
  <c r="O1269" i="7"/>
  <c r="O482" i="7"/>
  <c r="P482" i="7"/>
  <c r="O581" i="7"/>
  <c r="P581" i="7"/>
  <c r="P794" i="7"/>
  <c r="O794" i="7"/>
  <c r="O1203" i="7"/>
  <c r="P1203" i="7"/>
  <c r="O15" i="7"/>
  <c r="P15" i="7"/>
  <c r="O392" i="7"/>
  <c r="P392" i="7"/>
  <c r="P312" i="7"/>
  <c r="O312" i="7"/>
  <c r="P856" i="7"/>
  <c r="O856" i="7"/>
  <c r="O278" i="7"/>
  <c r="P278" i="7"/>
  <c r="P977" i="7"/>
  <c r="O977" i="7"/>
  <c r="P1200" i="7"/>
  <c r="O1200" i="7"/>
  <c r="O421" i="7"/>
  <c r="P421" i="7"/>
  <c r="P679" i="7"/>
  <c r="O679" i="7"/>
  <c r="P594" i="7"/>
  <c r="O594" i="7"/>
  <c r="O975" i="7"/>
  <c r="P975" i="7"/>
  <c r="P930" i="7"/>
  <c r="O930" i="7"/>
  <c r="P864" i="7"/>
  <c r="O864" i="7"/>
  <c r="P1036" i="7"/>
  <c r="O1036" i="7"/>
  <c r="O177" i="7"/>
  <c r="P177" i="7"/>
  <c r="P636" i="7"/>
  <c r="O636" i="7"/>
  <c r="P1098" i="7"/>
  <c r="O1098" i="7"/>
  <c r="P1327" i="7"/>
  <c r="O1327" i="7"/>
  <c r="O1109" i="7"/>
  <c r="P1109" i="7"/>
  <c r="P553" i="7"/>
  <c r="O553" i="7"/>
  <c r="P390" i="7"/>
  <c r="O390" i="7"/>
  <c r="P427" i="7"/>
  <c r="O427" i="7"/>
  <c r="O386" i="7"/>
  <c r="P386" i="7"/>
  <c r="P989" i="7"/>
  <c r="O989" i="7"/>
  <c r="O741" i="7"/>
  <c r="P741" i="7"/>
  <c r="P861" i="7"/>
  <c r="O861" i="7"/>
  <c r="P339" i="7"/>
  <c r="O339" i="7"/>
  <c r="O1393" i="7"/>
  <c r="P1393" i="7"/>
  <c r="P813" i="7"/>
  <c r="O813" i="7"/>
  <c r="P1246" i="7"/>
  <c r="O1246" i="7"/>
  <c r="P1222" i="7"/>
  <c r="O1222" i="7"/>
  <c r="O875" i="7"/>
  <c r="P875" i="7"/>
  <c r="P748" i="7"/>
  <c r="O748" i="7"/>
  <c r="P43" i="7"/>
  <c r="O43" i="7"/>
  <c r="O439" i="7"/>
  <c r="P439" i="7"/>
  <c r="O1338" i="7"/>
  <c r="P1338" i="7"/>
  <c r="O1234" i="7"/>
  <c r="P1234" i="7"/>
  <c r="O1409" i="7"/>
  <c r="P1409" i="7"/>
  <c r="P1235" i="7"/>
  <c r="O1235" i="7"/>
  <c r="P1052" i="7"/>
  <c r="O1052" i="7"/>
  <c r="O822" i="7"/>
  <c r="P822" i="7"/>
  <c r="P104" i="7"/>
  <c r="O104" i="7"/>
  <c r="P1056" i="7"/>
  <c r="O1056" i="7"/>
  <c r="O1304" i="7"/>
  <c r="P1304" i="7"/>
  <c r="P817" i="7"/>
  <c r="O817" i="7"/>
  <c r="P455" i="7"/>
  <c r="O455" i="7"/>
  <c r="P1401" i="7"/>
  <c r="O1401" i="7"/>
  <c r="O1227" i="7"/>
  <c r="P1227" i="7"/>
  <c r="P1064" i="7"/>
  <c r="O1064" i="7"/>
  <c r="P883" i="7"/>
  <c r="O883" i="7"/>
  <c r="P137" i="7"/>
  <c r="O137" i="7"/>
  <c r="O200" i="7"/>
  <c r="P200" i="7"/>
  <c r="O1231" i="7"/>
  <c r="P1231" i="7"/>
  <c r="O1125" i="7"/>
  <c r="P1125" i="7"/>
  <c r="P721" i="7"/>
  <c r="O721" i="7"/>
  <c r="P1314" i="7"/>
  <c r="O1314" i="7"/>
  <c r="P1296" i="7"/>
  <c r="O1296" i="7"/>
  <c r="O1076" i="7"/>
  <c r="P1076" i="7"/>
  <c r="O941" i="7"/>
  <c r="P941" i="7"/>
  <c r="O752" i="7"/>
  <c r="P752" i="7"/>
  <c r="O1003" i="7"/>
  <c r="P1003" i="7"/>
  <c r="O609" i="7"/>
  <c r="P609" i="7"/>
  <c r="O58" i="7"/>
  <c r="P58" i="7"/>
  <c r="P957" i="7"/>
  <c r="O957" i="7"/>
  <c r="P291" i="7"/>
  <c r="O291" i="7"/>
  <c r="O465" i="7"/>
  <c r="P465" i="7"/>
  <c r="P1394" i="7"/>
  <c r="O1394" i="7"/>
  <c r="O1004" i="7"/>
  <c r="P1004" i="7"/>
  <c r="P57" i="7"/>
  <c r="O57" i="7"/>
  <c r="O827" i="7"/>
  <c r="P827" i="7"/>
  <c r="P45" i="7"/>
  <c r="O45" i="7"/>
  <c r="P1236" i="7"/>
  <c r="O1236" i="7"/>
  <c r="P901" i="7"/>
  <c r="O901" i="7"/>
  <c r="O1224" i="7"/>
  <c r="P1224" i="7"/>
  <c r="P1351" i="7"/>
  <c r="O1351" i="7"/>
  <c r="O72" i="7"/>
  <c r="P72" i="7"/>
  <c r="O1175" i="7"/>
  <c r="P1175" i="7"/>
  <c r="P1180" i="7"/>
  <c r="O1180" i="7"/>
  <c r="P889" i="7"/>
  <c r="O889" i="7"/>
  <c r="P1254" i="7"/>
  <c r="O1254" i="7"/>
  <c r="O62" i="7"/>
  <c r="P62" i="7"/>
  <c r="O819" i="7"/>
  <c r="P819" i="7"/>
  <c r="O207" i="7"/>
  <c r="P207" i="7"/>
  <c r="O496" i="7"/>
  <c r="P496" i="7"/>
  <c r="O138" i="7"/>
  <c r="P138" i="7"/>
  <c r="P1250" i="7"/>
  <c r="O1250" i="7"/>
  <c r="P959" i="7"/>
  <c r="O959" i="7"/>
  <c r="O562" i="7"/>
  <c r="P562" i="7"/>
  <c r="P898" i="7"/>
  <c r="O898" i="7"/>
  <c r="O223" i="7"/>
  <c r="P223" i="7"/>
  <c r="O1294" i="7"/>
  <c r="P1294" i="7"/>
  <c r="O1014" i="7"/>
  <c r="P1014" i="7"/>
  <c r="P696" i="7"/>
  <c r="O696" i="7"/>
  <c r="P1414" i="7"/>
  <c r="O1414" i="7"/>
  <c r="P1167" i="7"/>
  <c r="O1167" i="7"/>
  <c r="O51" i="7"/>
  <c r="P51" i="7"/>
  <c r="O446" i="7"/>
  <c r="P446" i="7"/>
  <c r="P127" i="7"/>
  <c r="O127" i="7"/>
  <c r="O197" i="7"/>
  <c r="P197" i="7"/>
  <c r="P332" i="7"/>
  <c r="O332" i="7"/>
  <c r="O1402" i="7"/>
  <c r="P1402" i="7"/>
  <c r="P218" i="7"/>
  <c r="O218" i="7"/>
  <c r="O1183" i="7"/>
  <c r="P1183" i="7"/>
  <c r="O1128" i="7"/>
  <c r="P1128" i="7"/>
  <c r="P347" i="7"/>
  <c r="O347" i="7"/>
  <c r="O71" i="7"/>
  <c r="P71" i="7"/>
  <c r="P1185" i="7"/>
  <c r="O1185" i="7"/>
  <c r="P463" i="7"/>
  <c r="O463" i="7"/>
  <c r="O202" i="7"/>
  <c r="P202" i="7"/>
  <c r="O771" i="7"/>
  <c r="P771" i="7"/>
  <c r="O60" i="7"/>
  <c r="P60" i="7"/>
  <c r="P374" i="7"/>
  <c r="O374" i="7"/>
  <c r="P403" i="7"/>
  <c r="O403" i="7"/>
  <c r="P720" i="7"/>
  <c r="O720" i="7"/>
  <c r="P349" i="7"/>
  <c r="O349" i="7"/>
  <c r="O1423" i="7"/>
  <c r="P1423" i="7"/>
  <c r="P135" i="7"/>
  <c r="O135" i="7"/>
  <c r="O205" i="7"/>
  <c r="P205" i="7"/>
  <c r="P136" i="7"/>
  <c r="O136" i="7"/>
  <c r="O698" i="7"/>
  <c r="P698" i="7"/>
  <c r="P719" i="7"/>
  <c r="O719" i="7"/>
  <c r="P747" i="7"/>
  <c r="O747" i="7"/>
  <c r="P400" i="7"/>
  <c r="O400" i="7"/>
  <c r="P888" i="7"/>
  <c r="O888" i="7"/>
  <c r="O832" i="7"/>
  <c r="P832" i="7"/>
  <c r="P294" i="7"/>
  <c r="O294" i="7"/>
  <c r="P434" i="7"/>
  <c r="O434" i="7"/>
  <c r="O115" i="7"/>
  <c r="P115" i="7"/>
  <c r="P185" i="7"/>
  <c r="O185" i="7"/>
  <c r="O116" i="7"/>
  <c r="P116" i="7"/>
  <c r="P1232" i="7"/>
  <c r="O1232" i="7"/>
  <c r="P833" i="7"/>
  <c r="O833" i="7"/>
  <c r="P1171" i="7"/>
  <c r="O1171" i="7"/>
  <c r="O1403" i="7"/>
  <c r="P1403" i="7"/>
  <c r="P1077" i="7"/>
  <c r="O1077" i="7"/>
  <c r="O1340" i="7"/>
  <c r="P1340" i="7"/>
  <c r="P1049" i="7"/>
  <c r="O1049" i="7"/>
  <c r="P445" i="7"/>
  <c r="O445" i="7"/>
  <c r="O110" i="7"/>
  <c r="P110" i="7"/>
  <c r="P1226" i="7"/>
  <c r="O1226" i="7"/>
  <c r="P333" i="7"/>
  <c r="O333" i="7"/>
  <c r="P999" i="7"/>
  <c r="O999" i="7"/>
  <c r="P1071" i="7"/>
  <c r="O1071" i="7"/>
  <c r="O1016" i="7"/>
  <c r="P1016" i="7"/>
  <c r="P1301" i="7"/>
  <c r="O1301" i="7"/>
  <c r="O770" i="7"/>
  <c r="P770" i="7"/>
  <c r="O769" i="7"/>
  <c r="P769" i="7"/>
  <c r="P834" i="7"/>
  <c r="O834" i="7"/>
  <c r="P449" i="7"/>
  <c r="O449" i="7"/>
  <c r="P759" i="7"/>
  <c r="O759" i="7"/>
  <c r="O1058" i="7"/>
  <c r="P1058" i="7"/>
  <c r="P497" i="7"/>
  <c r="O497" i="7"/>
  <c r="P878" i="7"/>
  <c r="O878" i="7"/>
  <c r="P944" i="7"/>
  <c r="O944" i="7"/>
  <c r="P193" i="7"/>
  <c r="O193" i="7"/>
  <c r="O447" i="7"/>
  <c r="P447" i="7"/>
  <c r="O1398" i="7"/>
  <c r="P1398" i="7"/>
  <c r="O214" i="7"/>
  <c r="P214" i="7"/>
  <c r="O1335" i="7"/>
  <c r="P1335" i="7"/>
  <c r="P186" i="7"/>
  <c r="O186" i="7"/>
  <c r="O1245" i="7"/>
  <c r="P1245" i="7"/>
  <c r="P938" i="7"/>
  <c r="O938" i="7"/>
  <c r="O369" i="7"/>
  <c r="P369" i="7"/>
  <c r="O707" i="7"/>
  <c r="P707" i="7"/>
  <c r="O1002" i="7"/>
  <c r="P1002" i="7"/>
  <c r="O607" i="7"/>
  <c r="P607" i="7"/>
  <c r="O943" i="7"/>
  <c r="P943" i="7"/>
  <c r="O340" i="7"/>
  <c r="P340" i="7"/>
  <c r="O766" i="7"/>
  <c r="P766" i="7"/>
  <c r="P1356" i="7"/>
  <c r="O1356" i="7"/>
  <c r="O76" i="7"/>
  <c r="P76" i="7"/>
  <c r="P1221" i="7"/>
  <c r="O1221" i="7"/>
  <c r="O1420" i="7"/>
  <c r="P1420" i="7"/>
  <c r="P1133" i="7"/>
  <c r="O1133" i="7"/>
  <c r="P1238" i="7"/>
  <c r="O1238" i="7"/>
  <c r="P947" i="7"/>
  <c r="O947" i="7"/>
  <c r="O505" i="7"/>
  <c r="P505" i="7"/>
  <c r="O886" i="7"/>
  <c r="P886" i="7"/>
  <c r="P229" i="7"/>
  <c r="O229" i="7"/>
  <c r="O367" i="7"/>
  <c r="P367" i="7"/>
  <c r="P1000" i="7"/>
  <c r="O1000" i="7"/>
  <c r="O693" i="7"/>
  <c r="P693" i="7"/>
  <c r="P749" i="7"/>
  <c r="O749" i="7"/>
  <c r="P342" i="7"/>
  <c r="O342" i="7"/>
  <c r="O694" i="7"/>
  <c r="P694" i="7"/>
  <c r="P946" i="7"/>
  <c r="O946" i="7"/>
  <c r="O1225" i="7"/>
  <c r="P1225" i="7"/>
  <c r="O67" i="7"/>
  <c r="P67" i="7"/>
  <c r="P1164" i="7"/>
  <c r="O1164" i="7"/>
  <c r="P816" i="7"/>
  <c r="O816" i="7"/>
  <c r="P835" i="7"/>
  <c r="O835" i="7"/>
  <c r="O1258" i="7"/>
  <c r="P1258" i="7"/>
  <c r="P20" i="7" l="1"/>
  <c r="O20" i="7"/>
  <c r="O14" i="7"/>
  <c r="O1367" i="7"/>
  <c r="O647" i="7"/>
  <c r="P576" i="7"/>
  <c r="P598" i="7"/>
  <c r="O935" i="7"/>
  <c r="O1321" i="7"/>
  <c r="O1198" i="7"/>
  <c r="P1390" i="7"/>
  <c r="P329" i="7"/>
  <c r="O287" i="7"/>
  <c r="P305" i="7"/>
  <c r="O782" i="7"/>
  <c r="P782" i="7"/>
  <c r="O666" i="7"/>
  <c r="P666" i="7"/>
  <c r="O615" i="7"/>
  <c r="P615" i="7"/>
  <c r="P532" i="7"/>
  <c r="O532" i="7"/>
  <c r="P1363" i="7"/>
  <c r="O1363" i="7"/>
  <c r="P250" i="7"/>
  <c r="O250" i="7"/>
  <c r="P248" i="7"/>
  <c r="O248" i="7"/>
  <c r="O380" i="7"/>
  <c r="P380" i="7"/>
  <c r="O254" i="7"/>
  <c r="P254" i="7"/>
  <c r="P149" i="7"/>
  <c r="O149" i="7"/>
  <c r="P965" i="7"/>
  <c r="O965" i="7"/>
  <c r="P150" i="7"/>
  <c r="O150" i="7"/>
  <c r="O408" i="7"/>
  <c r="P408" i="7"/>
  <c r="O260" i="7"/>
  <c r="P260" i="7"/>
  <c r="P617" i="7"/>
  <c r="O617" i="7"/>
  <c r="P1088" i="7"/>
  <c r="O1088" i="7"/>
  <c r="O529" i="7"/>
  <c r="P529" i="7"/>
  <c r="P433" i="7"/>
  <c r="O918" i="7"/>
  <c r="O42" i="7"/>
  <c r="P918" i="7"/>
  <c r="O783" i="7"/>
  <c r="P42" i="7"/>
  <c r="P14" i="7"/>
  <c r="P668" i="7"/>
  <c r="P783" i="7"/>
  <c r="P647" i="7"/>
  <c r="P383" i="7"/>
  <c r="P84" i="7"/>
  <c r="P1219" i="7"/>
  <c r="O598" i="7"/>
  <c r="P935" i="7"/>
  <c r="P1044" i="7"/>
  <c r="P533" i="7"/>
  <c r="O1026" i="7"/>
  <c r="P412" i="7"/>
  <c r="P559" i="7"/>
  <c r="O1123" i="7"/>
  <c r="O689" i="7"/>
  <c r="P990" i="7"/>
  <c r="P1333" i="7"/>
  <c r="P181" i="7"/>
  <c r="O305" i="7"/>
  <c r="O574" i="7"/>
  <c r="P574" i="7"/>
  <c r="O842" i="7"/>
  <c r="P842" i="7"/>
  <c r="O1024" i="7"/>
  <c r="P1024" i="7"/>
  <c r="P252" i="7"/>
  <c r="O252" i="7"/>
  <c r="O1263" i="7"/>
  <c r="P1263" i="7"/>
  <c r="P301" i="7"/>
  <c r="O301" i="7"/>
  <c r="O300" i="7"/>
  <c r="P300" i="7"/>
  <c r="P258" i="7"/>
  <c r="O258" i="7"/>
  <c r="O478" i="7"/>
  <c r="P478" i="7"/>
  <c r="P840" i="7"/>
  <c r="O840" i="7"/>
  <c r="O81" i="7"/>
  <c r="P81" i="7"/>
  <c r="O244" i="7"/>
  <c r="P244" i="7"/>
  <c r="O409" i="7"/>
  <c r="P409" i="7"/>
  <c r="O1023" i="7"/>
  <c r="P1023" i="7"/>
  <c r="P665" i="7"/>
  <c r="O665" i="7"/>
  <c r="O1262" i="7"/>
  <c r="P1262" i="7"/>
  <c r="P242" i="7"/>
  <c r="O242" i="7"/>
  <c r="O916" i="7"/>
  <c r="P916" i="7"/>
  <c r="P1022" i="7"/>
  <c r="O1022" i="7"/>
  <c r="P264" i="7"/>
  <c r="O264" i="7"/>
  <c r="P476" i="7"/>
  <c r="O476" i="7"/>
  <c r="P967" i="7"/>
  <c r="O967" i="7"/>
  <c r="P1089" i="7"/>
  <c r="O1089" i="7"/>
  <c r="O303" i="7"/>
  <c r="P303" i="7"/>
  <c r="O1193" i="7"/>
  <c r="P1193" i="7"/>
  <c r="P628" i="7"/>
  <c r="O628" i="7"/>
  <c r="P664" i="7"/>
  <c r="O664" i="7"/>
  <c r="O841" i="7"/>
  <c r="P841" i="7"/>
  <c r="O521" i="7"/>
  <c r="P521" i="7"/>
  <c r="P968" i="7"/>
  <c r="O968" i="7"/>
  <c r="P152" i="7"/>
  <c r="O152" i="7"/>
  <c r="P1194" i="7"/>
  <c r="O1194" i="7"/>
  <c r="O304" i="7"/>
  <c r="P304" i="7"/>
  <c r="O619" i="7"/>
  <c r="P619" i="7"/>
  <c r="P410" i="7"/>
  <c r="O410" i="7"/>
  <c r="O82" i="7"/>
  <c r="P82" i="7"/>
  <c r="O13" i="7"/>
  <c r="P13" i="7"/>
  <c r="O625" i="7"/>
  <c r="P625" i="7"/>
  <c r="P145" i="7"/>
  <c r="O145" i="7"/>
  <c r="O247" i="7"/>
  <c r="P247" i="7"/>
  <c r="P155" i="7"/>
  <c r="O155" i="7"/>
  <c r="P624" i="7"/>
  <c r="O624" i="7"/>
  <c r="O845" i="7"/>
  <c r="O158" i="7"/>
  <c r="P629" i="7"/>
  <c r="O1143" i="7"/>
  <c r="O269" i="7"/>
  <c r="O1289" i="7"/>
  <c r="O627" i="7"/>
  <c r="P627" i="7"/>
  <c r="O659" i="7"/>
  <c r="P659" i="7"/>
  <c r="P1366" i="7"/>
  <c r="O1366" i="7"/>
  <c r="P522" i="7"/>
  <c r="O522" i="7"/>
  <c r="P381" i="7"/>
  <c r="O381" i="7"/>
  <c r="P525" i="7"/>
  <c r="O525" i="7"/>
  <c r="O523" i="7"/>
  <c r="P523" i="7"/>
  <c r="O253" i="7"/>
  <c r="P253" i="7"/>
  <c r="P80" i="7"/>
  <c r="O80" i="7"/>
  <c r="O266" i="7"/>
  <c r="P266" i="7"/>
  <c r="P1267" i="7"/>
  <c r="O1267" i="7"/>
  <c r="O663" i="7"/>
  <c r="P663" i="7"/>
  <c r="O1268" i="7"/>
  <c r="P1367" i="7"/>
  <c r="O629" i="7"/>
  <c r="P1143" i="7"/>
  <c r="O576" i="7"/>
  <c r="O101" i="7"/>
  <c r="P1321" i="7"/>
  <c r="P269" i="7"/>
  <c r="N397" i="7"/>
  <c r="N689" i="7"/>
  <c r="N1087" i="7"/>
  <c r="N377" i="7"/>
  <c r="N1321" i="7"/>
  <c r="N79" i="7"/>
  <c r="N1362" i="7"/>
  <c r="N838" i="7"/>
  <c r="N158" i="7"/>
  <c r="N1318" i="7"/>
  <c r="N1021" i="7"/>
  <c r="N287" i="7"/>
  <c r="N472" i="7"/>
  <c r="N269" i="7"/>
  <c r="N1429" i="7"/>
  <c r="N412" i="7"/>
  <c r="N1138" i="7"/>
  <c r="N299" i="7"/>
  <c r="N647" i="7"/>
  <c r="N1143" i="7"/>
  <c r="N629" i="7"/>
  <c r="N1261" i="7"/>
  <c r="N576" i="7"/>
  <c r="N144" i="7"/>
  <c r="N383" i="7"/>
  <c r="N935" i="7"/>
  <c r="N783" i="7"/>
  <c r="N533" i="7"/>
  <c r="N1219" i="7"/>
  <c r="N305" i="7"/>
  <c r="N810" i="7"/>
  <c r="N1268" i="7"/>
  <c r="N406" i="7"/>
  <c r="N598" i="7"/>
  <c r="N479" i="7"/>
  <c r="N1026" i="7"/>
  <c r="N520" i="7"/>
  <c r="N871" i="7"/>
  <c r="N668" i="7"/>
  <c r="N963" i="7"/>
  <c r="N658" i="7"/>
  <c r="N101" i="7"/>
  <c r="N1289" i="7"/>
  <c r="N845" i="7"/>
  <c r="N329" i="7"/>
  <c r="N1136" i="7"/>
  <c r="N1191" i="7"/>
  <c r="N433" i="7"/>
  <c r="N913" i="7"/>
  <c r="N918" i="7"/>
  <c r="N911" i="7"/>
  <c r="N1316" i="7"/>
  <c r="N614" i="7"/>
  <c r="N1198" i="7"/>
  <c r="N1189" i="7"/>
  <c r="N961" i="7"/>
  <c r="N775" i="7"/>
  <c r="N142" i="7"/>
  <c r="N181" i="7"/>
  <c r="N836" i="7"/>
  <c r="N42" i="7"/>
  <c r="N1259" i="7"/>
  <c r="N375" i="7"/>
  <c r="N1333" i="7"/>
  <c r="N404" i="7"/>
  <c r="N1123" i="7"/>
  <c r="N773" i="7"/>
  <c r="N1162" i="7"/>
  <c r="N559" i="7"/>
  <c r="N470" i="7"/>
  <c r="N494" i="7"/>
  <c r="N1390" i="7"/>
  <c r="N7" i="7"/>
  <c r="N971" i="7"/>
  <c r="N612" i="7"/>
  <c r="N990" i="7"/>
  <c r="N1095" i="7"/>
  <c r="N297" i="7"/>
  <c r="N569" i="7"/>
  <c r="N1367" i="7"/>
  <c r="N1019" i="7"/>
  <c r="N14" i="7"/>
  <c r="N571" i="7"/>
  <c r="N518" i="7"/>
  <c r="N1085" i="7"/>
  <c r="N656" i="7"/>
  <c r="N238" i="7"/>
  <c r="N240" i="7"/>
  <c r="N77" i="7"/>
  <c r="N84" i="7"/>
  <c r="N1360" i="7"/>
  <c r="O1162" i="7"/>
  <c r="P1198" i="7"/>
  <c r="O1390" i="7"/>
  <c r="O329" i="7"/>
  <c r="P287" i="7"/>
  <c r="P1289" i="7"/>
  <c r="O479" i="7"/>
  <c r="O1095" i="7"/>
  <c r="O810" i="7"/>
  <c r="O397" i="7"/>
  <c r="O871" i="7"/>
  <c r="O494" i="7"/>
  <c r="P914" i="7"/>
  <c r="O914" i="7"/>
  <c r="O776" i="7"/>
  <c r="P776" i="7"/>
  <c r="P1140" i="7"/>
  <c r="O1140" i="7"/>
  <c r="P378" i="7"/>
  <c r="O378" i="7"/>
  <c r="O267" i="7"/>
  <c r="P267" i="7"/>
  <c r="P411" i="7"/>
  <c r="O411" i="7"/>
  <c r="O157" i="7"/>
  <c r="P157" i="7"/>
  <c r="O1266" i="7"/>
  <c r="P1266" i="7"/>
  <c r="O1196" i="7"/>
  <c r="P1196" i="7"/>
  <c r="O915" i="7"/>
  <c r="P915" i="7"/>
  <c r="O477" i="7"/>
  <c r="P477" i="7"/>
  <c r="P147" i="7"/>
  <c r="O147" i="7"/>
  <c r="P661" i="7"/>
  <c r="O661" i="7"/>
  <c r="P246" i="7"/>
  <c r="O246" i="7"/>
  <c r="O970" i="7"/>
  <c r="P970" i="7"/>
  <c r="O1319" i="7"/>
  <c r="P1319" i="7"/>
  <c r="P10" i="7"/>
  <c r="O10" i="7"/>
  <c r="O1142" i="7"/>
  <c r="P1142" i="7"/>
  <c r="O622" i="7"/>
  <c r="P622" i="7"/>
  <c r="O1093" i="7"/>
  <c r="P1093" i="7"/>
  <c r="O379" i="7"/>
  <c r="P379" i="7"/>
  <c r="P779" i="7"/>
  <c r="O779" i="7"/>
  <c r="P839" i="7"/>
  <c r="O839" i="7"/>
  <c r="O1197" i="7"/>
  <c r="P1197" i="7"/>
  <c r="O1141" i="7"/>
  <c r="P1141" i="7"/>
  <c r="P616" i="7"/>
  <c r="O616" i="7"/>
  <c r="P9" i="7"/>
  <c r="O9" i="7"/>
  <c r="O148" i="7"/>
  <c r="P148" i="7"/>
  <c r="O146" i="7"/>
  <c r="P146" i="7"/>
  <c r="O11" i="7"/>
  <c r="P11" i="7"/>
  <c r="P156" i="7"/>
  <c r="O156" i="7"/>
  <c r="O966" i="7"/>
  <c r="P966" i="7"/>
  <c r="P618" i="7"/>
  <c r="O618" i="7"/>
  <c r="P259" i="7"/>
  <c r="O259" i="7"/>
  <c r="P83" i="7"/>
  <c r="O83" i="7"/>
  <c r="O153" i="7"/>
  <c r="P153" i="7"/>
  <c r="O969" i="7"/>
  <c r="P969" i="7"/>
  <c r="P407" i="7"/>
  <c r="O407" i="7"/>
  <c r="P1094" i="7"/>
  <c r="O1094" i="7"/>
  <c r="P623" i="7"/>
  <c r="O623" i="7"/>
  <c r="O265" i="7"/>
  <c r="P265" i="7"/>
  <c r="O433" i="7"/>
  <c r="O668" i="7"/>
  <c r="O1219" i="7"/>
  <c r="P1162" i="7"/>
  <c r="O662" i="7"/>
  <c r="P662" i="7"/>
  <c r="P475" i="7"/>
  <c r="O475" i="7"/>
  <c r="P1264" i="7"/>
  <c r="O1264" i="7"/>
  <c r="O256" i="7"/>
  <c r="P256" i="7"/>
  <c r="P778" i="7"/>
  <c r="O778" i="7"/>
  <c r="O249" i="7"/>
  <c r="P249" i="7"/>
  <c r="O1320" i="7"/>
  <c r="P1320" i="7"/>
  <c r="P261" i="7"/>
  <c r="O261" i="7"/>
  <c r="P660" i="7"/>
  <c r="O660" i="7"/>
  <c r="O255" i="7"/>
  <c r="P255" i="7"/>
  <c r="P1364" i="7"/>
  <c r="O1364" i="7"/>
  <c r="O154" i="7"/>
  <c r="P154" i="7"/>
  <c r="O245" i="7"/>
  <c r="P245" i="7"/>
  <c r="O620" i="7"/>
  <c r="P620" i="7"/>
  <c r="P845" i="7"/>
  <c r="P158" i="7"/>
  <c r="P1268" i="7"/>
  <c r="O383" i="7"/>
  <c r="O84" i="7"/>
  <c r="O971" i="7"/>
  <c r="P101" i="7"/>
  <c r="O1044" i="7"/>
  <c r="O533" i="7"/>
  <c r="P1026" i="7"/>
  <c r="O412" i="7"/>
  <c r="P971" i="7"/>
  <c r="O559" i="7"/>
  <c r="P1123" i="7"/>
  <c r="P689" i="7"/>
  <c r="O990" i="7"/>
  <c r="O1333" i="7"/>
  <c r="O181" i="7"/>
  <c r="P479" i="7"/>
  <c r="P1095" i="7"/>
  <c r="P810" i="7"/>
  <c r="P397" i="7"/>
  <c r="P871" i="7"/>
  <c r="P494" i="7"/>
  <c r="P263" i="7"/>
  <c r="O263" i="7"/>
  <c r="O964" i="7"/>
  <c r="P964" i="7"/>
  <c r="O575" i="7"/>
  <c r="P575" i="7"/>
  <c r="O528" i="7"/>
  <c r="P528" i="7"/>
  <c r="P251" i="7"/>
  <c r="O251" i="7"/>
  <c r="O777" i="7"/>
  <c r="P777" i="7"/>
  <c r="P844" i="7"/>
  <c r="O844" i="7"/>
  <c r="O524" i="7"/>
  <c r="P524" i="7"/>
  <c r="O1192" i="7"/>
  <c r="P1192" i="7"/>
  <c r="O1139" i="7"/>
  <c r="P1139" i="7"/>
  <c r="O1090" i="7"/>
  <c r="P1090" i="7"/>
  <c r="O1365" i="7"/>
  <c r="P1365" i="7"/>
  <c r="P302" i="7"/>
  <c r="O302" i="7"/>
  <c r="O626" i="7"/>
  <c r="P626" i="7"/>
  <c r="P12" i="7"/>
  <c r="O12" i="7"/>
  <c r="P526" i="7"/>
  <c r="O526" i="7"/>
  <c r="P151" i="7"/>
  <c r="O151" i="7"/>
  <c r="P1265" i="7"/>
  <c r="O1265" i="7"/>
  <c r="O527" i="7"/>
  <c r="P527" i="7"/>
  <c r="P268" i="7"/>
  <c r="O268" i="7"/>
  <c r="O531" i="7"/>
  <c r="P531" i="7"/>
  <c r="O262" i="7"/>
  <c r="P262" i="7"/>
  <c r="O843" i="7"/>
  <c r="P843" i="7"/>
  <c r="P780" i="7"/>
  <c r="O780" i="7"/>
  <c r="O917" i="7"/>
  <c r="P917" i="7"/>
  <c r="P473" i="7"/>
  <c r="O473" i="7"/>
  <c r="O243" i="7"/>
  <c r="P243" i="7"/>
  <c r="O1091" i="7"/>
  <c r="P1091" i="7"/>
  <c r="O573" i="7"/>
  <c r="P573" i="7"/>
  <c r="O1195" i="7"/>
  <c r="P1195" i="7"/>
  <c r="O1092" i="7"/>
  <c r="P1092" i="7"/>
  <c r="O572" i="7"/>
  <c r="P572" i="7"/>
  <c r="P621" i="7"/>
  <c r="O621" i="7"/>
  <c r="O8" i="7"/>
  <c r="P8" i="7"/>
  <c r="P781" i="7"/>
  <c r="O781" i="7"/>
  <c r="O667" i="7"/>
  <c r="P667" i="7"/>
  <c r="P1025" i="7"/>
  <c r="O1025" i="7"/>
  <c r="O382" i="7"/>
  <c r="P382" i="7"/>
  <c r="P530" i="7"/>
  <c r="O530" i="7"/>
  <c r="O474" i="7"/>
  <c r="P474" i="7"/>
  <c r="O241" i="7"/>
  <c r="P241" i="7"/>
  <c r="O7" i="7" l="1"/>
  <c r="O1138" i="7"/>
  <c r="O1136" i="7" s="1"/>
  <c r="O913" i="7"/>
  <c r="O911" i="7" s="1"/>
  <c r="O79" i="7"/>
  <c r="O77" i="7" s="1"/>
  <c r="P144" i="7"/>
  <c r="P142" i="7" s="1"/>
  <c r="O520" i="7"/>
  <c r="O518" i="7" s="1"/>
  <c r="P1021" i="7"/>
  <c r="P1019" i="7" s="1"/>
  <c r="O299" i="7"/>
  <c r="O297" i="7" s="1"/>
  <c r="O1362" i="7"/>
  <c r="O1360" i="7" s="1"/>
  <c r="P614" i="7"/>
  <c r="P612" i="7" s="1"/>
  <c r="O1432" i="7"/>
  <c r="O658" i="7"/>
  <c r="O656" i="7" s="1"/>
  <c r="O144" i="7"/>
  <c r="O142" i="7" s="1"/>
  <c r="P520" i="7"/>
  <c r="P518" i="7" s="1"/>
  <c r="O1021" i="7"/>
  <c r="O1019" i="7" s="1"/>
  <c r="P299" i="7"/>
  <c r="P297" i="7" s="1"/>
  <c r="P1433" i="7"/>
  <c r="P1087" i="7"/>
  <c r="P1085" i="7" s="1"/>
  <c r="P240" i="7"/>
  <c r="P238" i="7" s="1"/>
  <c r="O472" i="7"/>
  <c r="O470" i="7" s="1"/>
  <c r="P1191" i="7"/>
  <c r="P1189" i="7" s="1"/>
  <c r="O240" i="7"/>
  <c r="O238" i="7" s="1"/>
  <c r="P472" i="7"/>
  <c r="P470" i="7" s="1"/>
  <c r="O1191" i="7"/>
  <c r="O1189" i="7" s="1"/>
  <c r="P913" i="7"/>
  <c r="P911" i="7" s="1"/>
  <c r="P79" i="7"/>
  <c r="P77" i="7" s="1"/>
  <c r="P1261" i="7"/>
  <c r="P1259" i="7" s="1"/>
  <c r="P1362" i="7"/>
  <c r="P1360" i="7" s="1"/>
  <c r="O614" i="7"/>
  <c r="O612" i="7" s="1"/>
  <c r="O571" i="7"/>
  <c r="O569" i="7" s="1"/>
  <c r="O963" i="7"/>
  <c r="O961" i="7" s="1"/>
  <c r="P406" i="7"/>
  <c r="P404" i="7" s="1"/>
  <c r="P838" i="7"/>
  <c r="P836" i="7" s="1"/>
  <c r="O1318" i="7"/>
  <c r="O1316" i="7" s="1"/>
  <c r="P377" i="7"/>
  <c r="P375" i="7" s="1"/>
  <c r="O775" i="7"/>
  <c r="O773" i="7" s="1"/>
  <c r="P7" i="7"/>
  <c r="P571" i="7"/>
  <c r="P569" i="7" s="1"/>
  <c r="P1138" i="7"/>
  <c r="P1136" i="7" s="1"/>
  <c r="P963" i="7"/>
  <c r="P961" i="7" s="1"/>
  <c r="O406" i="7"/>
  <c r="O404" i="7" s="1"/>
  <c r="O838" i="7"/>
  <c r="O836" i="7" s="1"/>
  <c r="P1318" i="7"/>
  <c r="P1316" i="7" s="1"/>
  <c r="O377" i="7"/>
  <c r="O375" i="7" s="1"/>
  <c r="P775" i="7"/>
  <c r="P773" i="7" s="1"/>
  <c r="P658" i="7"/>
  <c r="P656" i="7" s="1"/>
  <c r="O1261" i="7"/>
  <c r="O1259" i="7" s="1"/>
  <c r="P1432" i="7"/>
  <c r="O1433" i="7"/>
  <c r="O1087" i="7"/>
  <c r="O1085" i="7" s="1"/>
  <c r="P1431" i="7" l="1"/>
  <c r="P5" i="7"/>
  <c r="P1429" i="7" s="1"/>
  <c r="O1431" i="7"/>
  <c r="O5" i="7"/>
  <c r="O1429" i="7" s="1"/>
</calcChain>
</file>

<file path=xl/sharedStrings.xml><?xml version="1.0" encoding="utf-8"?>
<sst xmlns="http://schemas.openxmlformats.org/spreadsheetml/2006/main" count="5090" uniqueCount="2703">
  <si>
    <t xml:space="preserve">отг Мачухівська (Полтавський, Новосанжарський та Решетилівський райони) </t>
  </si>
  <si>
    <t>17525000000</t>
  </si>
  <si>
    <t>отг Малолюбашанська (Костопільський район)</t>
  </si>
  <si>
    <t>18528000000</t>
  </si>
  <si>
    <t>отг.Чупахівська   (Охтирський район)</t>
  </si>
  <si>
    <t>21525000000</t>
  </si>
  <si>
    <t>отг. Долматівська  (Голопристанський район)</t>
  </si>
  <si>
    <t>21526000000</t>
  </si>
  <si>
    <t>отг Роздольненська  (Каховський район)</t>
  </si>
  <si>
    <t>22534000000</t>
  </si>
  <si>
    <t>отг Вовковинецька (Деражнянський район)</t>
  </si>
  <si>
    <t>22535000000</t>
  </si>
  <si>
    <t>отг  Смотрицька  (Дунаєвецький район)</t>
  </si>
  <si>
    <t>22536000000</t>
  </si>
  <si>
    <t>отг Жванецька (Кам’янець-Подільський район)</t>
  </si>
  <si>
    <t>22537000000</t>
  </si>
  <si>
    <t>отг Староушицька   (Кам’янець-Подільський район)</t>
  </si>
  <si>
    <t>22538000000</t>
  </si>
  <si>
    <t>отг Крупецька   (Славутський район)</t>
  </si>
  <si>
    <t>22539000000</t>
  </si>
  <si>
    <t>отг Баламутівська (Ярмолинецький район)</t>
  </si>
  <si>
    <t>23525000000</t>
  </si>
  <si>
    <t>отг. Михайлівська (Кам’янський район)</t>
  </si>
  <si>
    <t>23526000000</t>
  </si>
  <si>
    <t>отг. Буцька (Маньківський район)</t>
  </si>
  <si>
    <t>24523000000</t>
  </si>
  <si>
    <t>отг. Вікнянська  (Заставнівський район)</t>
  </si>
  <si>
    <t>24524000000</t>
  </si>
  <si>
    <t>отг. Юрковецька  (Заставнівський район)</t>
  </si>
  <si>
    <t>24525000000</t>
  </si>
  <si>
    <t>отг. Кострижівська   (Заставнівський район)</t>
  </si>
  <si>
    <t>24526000000</t>
  </si>
  <si>
    <t>отг. Новоселицька  (Новоселицький район)</t>
  </si>
  <si>
    <t>25534000000</t>
  </si>
  <si>
    <t>отг. Височанська  (Борзнянський район)</t>
  </si>
  <si>
    <t>25535000000</t>
  </si>
  <si>
    <t>отг. Варвинська  (Варвинський район)</t>
  </si>
  <si>
    <t>25536000000</t>
  </si>
  <si>
    <t>отг. Городнянська  (Городнянський район)</t>
  </si>
  <si>
    <t>25537000000</t>
  </si>
  <si>
    <t>отг Линовицька (Прилуцький район)</t>
  </si>
  <si>
    <t>Всі зведені бюджети районів</t>
  </si>
  <si>
    <t>Всі бюджети об'єднаних територіальних громад</t>
  </si>
  <si>
    <t>Всі міста обласного значення</t>
  </si>
  <si>
    <t>КОД</t>
  </si>
  <si>
    <t>шифр</t>
  </si>
  <si>
    <t>Код бюджету</t>
  </si>
  <si>
    <t>Областей</t>
  </si>
  <si>
    <t>Міст і районів</t>
  </si>
  <si>
    <t>ПДФО факт 2016 (відрахування (60%) (тис. грн.)</t>
  </si>
  <si>
    <t>Коригування відповідно до ст.100 Бюджетного кодексу України,
 (тис. грн.)</t>
  </si>
  <si>
    <t>Реверсна дотація (80% більше індексу 1,1),
(тис. грн.)</t>
  </si>
  <si>
    <t>Населення внутрішньопереміщені, (тис. чол.)</t>
  </si>
  <si>
    <t>Населення всього, (тис. чол.)</t>
  </si>
  <si>
    <t>22517000000</t>
  </si>
  <si>
    <t>22518000000</t>
  </si>
  <si>
    <t>22519000000</t>
  </si>
  <si>
    <t>отг Розсошанська  (Хмельницький район)</t>
  </si>
  <si>
    <t>22520000000</t>
  </si>
  <si>
    <t>отг Сатанівська  (Городоцький район)</t>
  </si>
  <si>
    <t>22521000000</t>
  </si>
  <si>
    <t>22522000000</t>
  </si>
  <si>
    <t>отг Вашковецька  (Сокирянський район)</t>
  </si>
  <si>
    <t>24503000000</t>
  </si>
  <si>
    <t>отг Волоківська  (Глибоцький район)</t>
  </si>
  <si>
    <t>24504000000</t>
  </si>
  <si>
    <t>отг Глибоцька  (Глибоцький район)</t>
  </si>
  <si>
    <t>24505000000</t>
  </si>
  <si>
    <t>отг Клішковецька  (Хотинський район)</t>
  </si>
  <si>
    <t>24506000000</t>
  </si>
  <si>
    <t>отг Мамалигівська  (Новоселицький район)</t>
  </si>
  <si>
    <t>24507000000</t>
  </si>
  <si>
    <t>отг Недобоївська  (Хотинський район)</t>
  </si>
  <si>
    <t>24508000000</t>
  </si>
  <si>
    <t>24509000000</t>
  </si>
  <si>
    <t>отг Сокирянська  (Сокирянський район)</t>
  </si>
  <si>
    <t>24510000000</t>
  </si>
  <si>
    <t>отг Усть-Путильська  (Путильський район)</t>
  </si>
  <si>
    <t>отг Вертіївська  (Ніжинський район)</t>
  </si>
  <si>
    <t>25502000000</t>
  </si>
  <si>
    <t>25503000000</t>
  </si>
  <si>
    <t>отг Кіптівська  (Козелецький район)</t>
  </si>
  <si>
    <t>25504000000</t>
  </si>
  <si>
    <t>25505000000</t>
  </si>
  <si>
    <t>отг Парафіївська  (Ічнянський район)</t>
  </si>
  <si>
    <t>Разом по бюджетах адміністративно-територіальних одиницях</t>
  </si>
  <si>
    <t>отг Ганнопільська  (Славутський район)</t>
  </si>
  <si>
    <t>03506000000</t>
  </si>
  <si>
    <t>отг. Шацька (Шацький район)</t>
  </si>
  <si>
    <t>04516000000</t>
  </si>
  <si>
    <t>06510000000</t>
  </si>
  <si>
    <t>отг Корнинська (Попільнянський район)</t>
  </si>
  <si>
    <t>отг Білоберізька (Верховинський район)</t>
  </si>
  <si>
    <t>10502000000</t>
  </si>
  <si>
    <t>отг Пісківська (Бородянський район)</t>
  </si>
  <si>
    <t>11503000000</t>
  </si>
  <si>
    <t>отг Новоукраїнська (Новоукраїнський район)</t>
  </si>
  <si>
    <t>13516000000</t>
  </si>
  <si>
    <t>отг Ходорівська (Жидачівський район)</t>
  </si>
  <si>
    <t>отг Маразліївська (Б. Дністровський район)</t>
  </si>
  <si>
    <t>16513000000</t>
  </si>
  <si>
    <t>16514000000</t>
  </si>
  <si>
    <t>отг Новоаврамівська  (Хорольський район)</t>
  </si>
  <si>
    <t>17506000000</t>
  </si>
  <si>
    <t>отг Радивилівська  (Радивилівський район)</t>
  </si>
  <si>
    <t>17507000000</t>
  </si>
  <si>
    <t>отг Крупецька  (Радивилівський район)</t>
  </si>
  <si>
    <t>17508000000</t>
  </si>
  <si>
    <t>отг Привільненська  (Дубенський район)</t>
  </si>
  <si>
    <t>20501000000</t>
  </si>
  <si>
    <t>отг Старосалтівська  (Вовчанський район)</t>
  </si>
  <si>
    <t>отг Мирогощанська  (Дубенський район)</t>
  </si>
  <si>
    <t>отг Локницька  (Зарічненський район)</t>
  </si>
  <si>
    <t>03507000000</t>
  </si>
  <si>
    <t>отг. Люблинецька (Ковельський район)</t>
  </si>
  <si>
    <t>09504000000</t>
  </si>
  <si>
    <t>17509000000</t>
  </si>
  <si>
    <t>17510000000</t>
  </si>
  <si>
    <t>Населення, (тис. чол.)</t>
  </si>
  <si>
    <t>Індекс податко-спроможності відповідного бюджету</t>
  </si>
  <si>
    <t>Базова дотація (індекс до 0,9 - компенсація 80%),
(тис. грн.)</t>
  </si>
  <si>
    <t>ПДФО з урах. коригування,
(тис. грн.)</t>
  </si>
  <si>
    <t>02503000000</t>
  </si>
  <si>
    <t>отг. Іллінецька ( Іллінецький район)</t>
  </si>
  <si>
    <t>02504000000</t>
  </si>
  <si>
    <t>отг. Вапнярська (Томашпільський район)</t>
  </si>
  <si>
    <t>отг. Мирівська (Томаківський район )</t>
  </si>
  <si>
    <t>08507000000</t>
  </si>
  <si>
    <t>отг Долинська (Запорізький район)</t>
  </si>
  <si>
    <t>17511000000</t>
  </si>
  <si>
    <t>отг Смизька  (Дубенський район)</t>
  </si>
  <si>
    <t>17512000000</t>
  </si>
  <si>
    <t>отг Висоцька  (Дубровицький район)</t>
  </si>
  <si>
    <t>17513000000</t>
  </si>
  <si>
    <t>отг Пісківська  (Костопільський район)</t>
  </si>
  <si>
    <t>17514000000</t>
  </si>
  <si>
    <t>отг Козинська  (Радивилівський район)</t>
  </si>
  <si>
    <t>20502000000</t>
  </si>
  <si>
    <t>отг Мереф'янська  (Харківський район)</t>
  </si>
  <si>
    <t>20503000000</t>
  </si>
  <si>
    <t>отг Чкаловська  (Чугуївський район)</t>
  </si>
  <si>
    <t>отг Скороходівська  (Чутівський район)</t>
  </si>
  <si>
    <t>отг Микулинецька   (Теребовлянський район)</t>
  </si>
  <si>
    <t>отг Деснянська  (Козелецький район)</t>
  </si>
  <si>
    <t>02505000000</t>
  </si>
  <si>
    <t>отг. Барська (Барський район)</t>
  </si>
  <si>
    <t>02506000000</t>
  </si>
  <si>
    <t>отг. Немирівська (Немирівський район)</t>
  </si>
  <si>
    <t>02507000000</t>
  </si>
  <si>
    <t>отг. Тульчинська (Тульчинський район)</t>
  </si>
  <si>
    <t>02508000000</t>
  </si>
  <si>
    <t>отг. Вороновицька (Вінницький район)</t>
  </si>
  <si>
    <t>02509000000</t>
  </si>
  <si>
    <t>отг. Дашівська (Іллінецький район)</t>
  </si>
  <si>
    <t>02510000000</t>
  </si>
  <si>
    <t>отг. Оратівська (Оратівський район)</t>
  </si>
  <si>
    <t>02511000000</t>
  </si>
  <si>
    <t>отг. Ситковецька (Немирівський район)</t>
  </si>
  <si>
    <t>02512000000</t>
  </si>
  <si>
    <t>отг. Томашпільська (Томашпільський район)</t>
  </si>
  <si>
    <t>02513000000</t>
  </si>
  <si>
    <t>отг. Шпиківська (Тульчинський район)</t>
  </si>
  <si>
    <t>02514000000</t>
  </si>
  <si>
    <t>отг. Бабчинецька (Чернівецький район)</t>
  </si>
  <si>
    <t>02515000000</t>
  </si>
  <si>
    <t>02516000000</t>
  </si>
  <si>
    <t>отг. Джулинська (Бершадський район)</t>
  </si>
  <si>
    <t>02517000000</t>
  </si>
  <si>
    <t>отг. Ковалівська (Немирівський район)</t>
  </si>
  <si>
    <t>02518000000</t>
  </si>
  <si>
    <t>отг. Мельниківська (Немирівський район)</t>
  </si>
  <si>
    <t>02519000000</t>
  </si>
  <si>
    <t>отг. Райгородська (Немирівський район)</t>
  </si>
  <si>
    <t>02520000000</t>
  </si>
  <si>
    <t>отг. Северинівська (Жмеринський район)</t>
  </si>
  <si>
    <t>02521000000</t>
  </si>
  <si>
    <t>отг. Сокиринецька (Вінницький район)</t>
  </si>
  <si>
    <t>03508000000</t>
  </si>
  <si>
    <t>отг. Заболоттівська (Ратнівський район)</t>
  </si>
  <si>
    <t>03509000000</t>
  </si>
  <si>
    <t>отг. Дубівська (Ковельський район)</t>
  </si>
  <si>
    <t>03510000000</t>
  </si>
  <si>
    <t>отг. Княгининівська (Луцький район)</t>
  </si>
  <si>
    <t>03511000000</t>
  </si>
  <si>
    <t>отг. Литовезька (Іваничівський район)</t>
  </si>
  <si>
    <t>03512000000</t>
  </si>
  <si>
    <t>отг. Павлівська (Іваничівський район)</t>
  </si>
  <si>
    <t>03513000000</t>
  </si>
  <si>
    <t>отг. Поворська (Ковельський район)</t>
  </si>
  <si>
    <t>03514000000</t>
  </si>
  <si>
    <t>отг. Поромівська (Іваничівський район)</t>
  </si>
  <si>
    <t>03515000000</t>
  </si>
  <si>
    <t>отг. Прилісненська (Маневицький район)</t>
  </si>
  <si>
    <t>04517000000</t>
  </si>
  <si>
    <t>отг. Аульська (Криничанський район)</t>
  </si>
  <si>
    <t>04518000000</t>
  </si>
  <si>
    <t>отг. Божедарівська (Криничанський район)</t>
  </si>
  <si>
    <t>04519000000</t>
  </si>
  <si>
    <t>отг. Васильківська (Васильківський район)</t>
  </si>
  <si>
    <t>04520000000</t>
  </si>
  <si>
    <t>отг. Вишнівська (П'ятихатський район)</t>
  </si>
  <si>
    <t>04521000000</t>
  </si>
  <si>
    <t>отг. Криничанська (Криничанський район)</t>
  </si>
  <si>
    <t>04522000000</t>
  </si>
  <si>
    <t>отг. Лихівська (П'ятихатський район)</t>
  </si>
  <si>
    <t>04523000000</t>
  </si>
  <si>
    <t>отг. Покровська (Покровський район)</t>
  </si>
  <si>
    <t>04524000000</t>
  </si>
  <si>
    <t>отг. Роздорська (Синельниківський район)</t>
  </si>
  <si>
    <t>04525000000</t>
  </si>
  <si>
    <t>отг. Софіївська (Софіївський район)</t>
  </si>
  <si>
    <t>04526000000</t>
  </si>
  <si>
    <t>отг. Томаківська (Томаківський район)</t>
  </si>
  <si>
    <t>04527000000</t>
  </si>
  <si>
    <t>отг. Царичанська (Царичанський район)</t>
  </si>
  <si>
    <t>04528000000</t>
  </si>
  <si>
    <t>отг. Варварівська (Юр'ївський район)</t>
  </si>
  <si>
    <t>04529000000</t>
  </si>
  <si>
    <t>отг. Великомихайлівська (Покровський район)</t>
  </si>
  <si>
    <t>04530000000</t>
  </si>
  <si>
    <t>отг. Гречаноподівська (Широківський район)</t>
  </si>
  <si>
    <t>04531000000</t>
  </si>
  <si>
    <t>отг. Маломихайлівська (Покровський район)</t>
  </si>
  <si>
    <t>04532000000</t>
  </si>
  <si>
    <t>отг. Новолатівська (Широківський район)</t>
  </si>
  <si>
    <t>04533000000</t>
  </si>
  <si>
    <t>отг. Новопавлівська (Межівський район)</t>
  </si>
  <si>
    <t>04534000000</t>
  </si>
  <si>
    <t>отг. Чкаловська (Нікопольський район)</t>
  </si>
  <si>
    <t>отг. Черкаська (Слов'янський район)</t>
  </si>
  <si>
    <t>отг. Миколаївська (Слов'янський район)</t>
  </si>
  <si>
    <t>отг. Соледарська (Бахмутський район)</t>
  </si>
  <si>
    <t>отг. Іллінівська (Костянтинівський район)</t>
  </si>
  <si>
    <t>Коростишівський р-н</t>
  </si>
  <si>
    <t>Попільнянський р-н</t>
  </si>
  <si>
    <t>06511000000</t>
  </si>
  <si>
    <t>отг Баранівська (Баранівський район)</t>
  </si>
  <si>
    <t>06512000000</t>
  </si>
  <si>
    <t>отг Коростишівська (Коростишівський район)</t>
  </si>
  <si>
    <t>06513000000</t>
  </si>
  <si>
    <t>отг Олевська (Олевський район)</t>
  </si>
  <si>
    <t>06514000000</t>
  </si>
  <si>
    <t>отг Брусилівська (Брусилівський район)</t>
  </si>
  <si>
    <t>06515000000</t>
  </si>
  <si>
    <t>отг Городницька (Новоград-Волинський район)</t>
  </si>
  <si>
    <t>06516000000</t>
  </si>
  <si>
    <t>отг Довбиська (Баранівський район)</t>
  </si>
  <si>
    <t>06517000000</t>
  </si>
  <si>
    <t>отг Лугинська (Лугинський район)</t>
  </si>
  <si>
    <t>06518000000</t>
  </si>
  <si>
    <t>отг Миропільська (Романівський район)</t>
  </si>
  <si>
    <t>06519000000</t>
  </si>
  <si>
    <t>отг Попільнянська (Попільнянський район)</t>
  </si>
  <si>
    <t>06520000000</t>
  </si>
  <si>
    <t>отг Хорошівська (Хорошівський район)</t>
  </si>
  <si>
    <t>06521000000</t>
  </si>
  <si>
    <t>отг Чоповицька (Малинський район)</t>
  </si>
  <si>
    <t>06522000000</t>
  </si>
  <si>
    <t>отг Андрушківська (Попільнянський район)</t>
  </si>
  <si>
    <t>06523000000</t>
  </si>
  <si>
    <t>отг Барашівська (Ємільчинський район)</t>
  </si>
  <si>
    <t>06524000000</t>
  </si>
  <si>
    <t>отг Білокоровицька (Олевський район)</t>
  </si>
  <si>
    <t>06525000000</t>
  </si>
  <si>
    <t>отг Вільська (Черняхівський район)</t>
  </si>
  <si>
    <t>06526000000</t>
  </si>
  <si>
    <t>отг Горщиківська (Коростенський район)</t>
  </si>
  <si>
    <t>06527000000</t>
  </si>
  <si>
    <t>отг Квітнева (Попільнянський район)</t>
  </si>
  <si>
    <t>06528000000</t>
  </si>
  <si>
    <t>отг Краснопільська (Чуднівський район)</t>
  </si>
  <si>
    <t>06529000000</t>
  </si>
  <si>
    <t>отг Семенівська (Бердичівський район)</t>
  </si>
  <si>
    <t>06530000000</t>
  </si>
  <si>
    <t>отг Станишівська (Житомирський район)</t>
  </si>
  <si>
    <t>06531000000</t>
  </si>
  <si>
    <t>отг Ушомирська (Коростенський район)</t>
  </si>
  <si>
    <t>06532000000</t>
  </si>
  <si>
    <t>отг Чижівська (Новоград-Волинський район)</t>
  </si>
  <si>
    <t>07503000000</t>
  </si>
  <si>
    <t>отг Полянська (Свалявський район)</t>
  </si>
  <si>
    <t>08508000000</t>
  </si>
  <si>
    <t>отг Приморська (Приморський район)</t>
  </si>
  <si>
    <t>08509000000</t>
  </si>
  <si>
    <t>отг Комишуваська (Оріхівський район)</t>
  </si>
  <si>
    <t>08510000000</t>
  </si>
  <si>
    <t>отг Біленьківська (Запорізький район)</t>
  </si>
  <si>
    <t>08511000000</t>
  </si>
  <si>
    <t>отг Ботіївська (Приазовський район)</t>
  </si>
  <si>
    <t>08512000000</t>
  </si>
  <si>
    <t>отг Гірсівська (Приазовський район)</t>
  </si>
  <si>
    <t>08513000000</t>
  </si>
  <si>
    <t>отг Малотокмачанська (Оріхівський район)</t>
  </si>
  <si>
    <t>08514000000</t>
  </si>
  <si>
    <t>отг Осипенківська (Бердянський район)</t>
  </si>
  <si>
    <t>08515000000</t>
  </si>
  <si>
    <t>отг Остриківська (Токмацький район)</t>
  </si>
  <si>
    <t>08516000000</t>
  </si>
  <si>
    <t>отг Таврійська (Оріхівський район)</t>
  </si>
  <si>
    <t>09505000000</t>
  </si>
  <si>
    <t>отг Тлумацька (Тлумацький район)</t>
  </si>
  <si>
    <t>09506000000</t>
  </si>
  <si>
    <t>отг Більшівцівська (Галицький район)</t>
  </si>
  <si>
    <t>09507000000</t>
  </si>
  <si>
    <t>отг Витвицька (Долинський район)</t>
  </si>
  <si>
    <t>09508000000</t>
  </si>
  <si>
    <t>отг Космацька (Косівський район)</t>
  </si>
  <si>
    <t>09509000000</t>
  </si>
  <si>
    <t>отг Матеївецька (Коломийський район)</t>
  </si>
  <si>
    <t>09510000000</t>
  </si>
  <si>
    <t>отг Нижньовербізька (Коломийський район)</t>
  </si>
  <si>
    <t>09511000000</t>
  </si>
  <si>
    <t>отг П'ядицька (Коломийський район)</t>
  </si>
  <si>
    <t>11504000000</t>
  </si>
  <si>
    <t>отг Великоандрусівська (Світловодський район)</t>
  </si>
  <si>
    <t>11505000000</t>
  </si>
  <si>
    <t>отг Соколівська (Кіровоградський район)</t>
  </si>
  <si>
    <t>12503000000</t>
  </si>
  <si>
    <t>отг Чмирівська (Старобільський район)</t>
  </si>
  <si>
    <t>13517000000</t>
  </si>
  <si>
    <t>отг Мостиська (Мостиський район)</t>
  </si>
  <si>
    <t>13518000000</t>
  </si>
  <si>
    <t>отг Судововишнянська (Мостиський район)</t>
  </si>
  <si>
    <t>13519000000</t>
  </si>
  <si>
    <t>отг Нижанковицька (Старосамбірський район)</t>
  </si>
  <si>
    <t>13520000000</t>
  </si>
  <si>
    <t>отг Давидівська (Пустомитівський район)</t>
  </si>
  <si>
    <t>13521000000</t>
  </si>
  <si>
    <t>отг Жовтанецька (Кам'янка-Бузький район)</t>
  </si>
  <si>
    <t>13522000000</t>
  </si>
  <si>
    <t>отг Шегинівська (Мостиський район)</t>
  </si>
  <si>
    <t>14502000000</t>
  </si>
  <si>
    <t>отг Баштанська (Баштанський район)</t>
  </si>
  <si>
    <t>14503000000</t>
  </si>
  <si>
    <t>отг Олександрівська (Вознесенський район)</t>
  </si>
  <si>
    <t>14504000000</t>
  </si>
  <si>
    <t>отг Веселинівська (Веселинівський район)</t>
  </si>
  <si>
    <t>14505000000</t>
  </si>
  <si>
    <t>отг Воскресенська (Вітовський район)</t>
  </si>
  <si>
    <t>14506000000</t>
  </si>
  <si>
    <t>отг Доманівська (Доманівський район)</t>
  </si>
  <si>
    <t>14507000000</t>
  </si>
  <si>
    <t>отг Ольшанська (Миколаївський район)</t>
  </si>
  <si>
    <t>14508000000</t>
  </si>
  <si>
    <t>отг Веснянська (Миколаївський район)</t>
  </si>
  <si>
    <t>14509000000</t>
  </si>
  <si>
    <t>отг Кам'яномостівська (Первомайський район)</t>
  </si>
  <si>
    <t>14510000000</t>
  </si>
  <si>
    <t>отг Благодатненська (Арбузинський район)</t>
  </si>
  <si>
    <t>14511000000</t>
  </si>
  <si>
    <t>отг Бузька (Вознесенський район)</t>
  </si>
  <si>
    <t>14512000000</t>
  </si>
  <si>
    <t>отг Галицинівська (Вітовський район)</t>
  </si>
  <si>
    <t>14513000000</t>
  </si>
  <si>
    <t>отг Коблівська (Березанський район)</t>
  </si>
  <si>
    <t>14514000000</t>
  </si>
  <si>
    <t>отг Михайлівська (Миколаївський район)</t>
  </si>
  <si>
    <t>14515000000</t>
  </si>
  <si>
    <t>отг Мостівська (Доманівський район)</t>
  </si>
  <si>
    <t>14516000000</t>
  </si>
  <si>
    <t>отг Нечаянська (Миколаївський район)</t>
  </si>
  <si>
    <t>14517000000</t>
  </si>
  <si>
    <t>отг Прибужанівська (Вознесенський район)</t>
  </si>
  <si>
    <t>14518000000</t>
  </si>
  <si>
    <t>отг Чорноморська (Очаківський район)</t>
  </si>
  <si>
    <t>14519000000</t>
  </si>
  <si>
    <t>отг Шевченківська (Вітовський район)</t>
  </si>
  <si>
    <t>15509000000</t>
  </si>
  <si>
    <t>отг Затишанська (Захарівський район)</t>
  </si>
  <si>
    <t>15510000000</t>
  </si>
  <si>
    <t>отг Ширяївська (Ширяївський район)</t>
  </si>
  <si>
    <t>15511000000</t>
  </si>
  <si>
    <t>отг Коноплянська (Іванівський район)</t>
  </si>
  <si>
    <t>16515000000</t>
  </si>
  <si>
    <t>отг Решетилівська  (Решетилівський район)</t>
  </si>
  <si>
    <t>16516000000</t>
  </si>
  <si>
    <t>отг Великосорочинська  (Миргородський район)</t>
  </si>
  <si>
    <t>16517000000</t>
  </si>
  <si>
    <t>отг Засульська  (Лубенський район)</t>
  </si>
  <si>
    <t>16518000000</t>
  </si>
  <si>
    <t>отг Сергіївська  (Гадяцький район)</t>
  </si>
  <si>
    <t>17515000000</t>
  </si>
  <si>
    <t>отг Млинівська  (Млинівський район)</t>
  </si>
  <si>
    <t>17516000000</t>
  </si>
  <si>
    <t>отг Боремельська  (Демидівський район)</t>
  </si>
  <si>
    <t>17517000000</t>
  </si>
  <si>
    <t>отг Деражненська  (Костопільський район)</t>
  </si>
  <si>
    <t>17518000000</t>
  </si>
  <si>
    <t>отг Острожецька  (Млинівський район)</t>
  </si>
  <si>
    <t>18502000000</t>
  </si>
  <si>
    <t>отг Дружбівська  (Ямпільський район)</t>
  </si>
  <si>
    <t>18503000000</t>
  </si>
  <si>
    <t>отг Зноб-Новгородська  (Середино-Будзький район)</t>
  </si>
  <si>
    <t>18504000000</t>
  </si>
  <si>
    <t>отг Кириківська  (Великописарівський район)</t>
  </si>
  <si>
    <t>18505000000</t>
  </si>
  <si>
    <t>отг Миколаївська  (Білопільський район)</t>
  </si>
  <si>
    <t>18506000000</t>
  </si>
  <si>
    <t>отг Недригайлівська  (Недригайлівський район)</t>
  </si>
  <si>
    <t>18507000000</t>
  </si>
  <si>
    <t>отг Хотінська  (Сумський район)</t>
  </si>
  <si>
    <t>18508000000</t>
  </si>
  <si>
    <t>отг Шалигинська  (Глухівський район)</t>
  </si>
  <si>
    <t>18509000000</t>
  </si>
  <si>
    <t>отг Бездрицька  (Сумський район)</t>
  </si>
  <si>
    <t>18510000000</t>
  </si>
  <si>
    <t>отг Боромлянська  (Тростянецький район)</t>
  </si>
  <si>
    <t>18511000000</t>
  </si>
  <si>
    <t>отг Грунська  (Охтирський район)</t>
  </si>
  <si>
    <t>18512000000</t>
  </si>
  <si>
    <t>отг Миколаївська  (Сумський район)</t>
  </si>
  <si>
    <t>18513000000</t>
  </si>
  <si>
    <t>отг Миропільська  (Краснопільський район)</t>
  </si>
  <si>
    <t>18514000000</t>
  </si>
  <si>
    <t>отг Нижньосироватська  (Сумський район)</t>
  </si>
  <si>
    <t>19527000000</t>
  </si>
  <si>
    <t>отг Борщівська   (Борщівський район)</t>
  </si>
  <si>
    <t>19528000000</t>
  </si>
  <si>
    <t>отг Вишнівецька   (Збаразький район)</t>
  </si>
  <si>
    <t>19529000000</t>
  </si>
  <si>
    <t>отг Гримайлівська  (Гусятинський район)</t>
  </si>
  <si>
    <t>19530000000</t>
  </si>
  <si>
    <t>отг Залозецька   (Зборівський район)</t>
  </si>
  <si>
    <t>19531000000</t>
  </si>
  <si>
    <t>отг Більче-Золотецька   (Борщівський район)</t>
  </si>
  <si>
    <t>19532000000</t>
  </si>
  <si>
    <t>отг Борсуківська   (Лановецький район)</t>
  </si>
  <si>
    <t>19533000000</t>
  </si>
  <si>
    <t>отг Великодедеркальська   (Шумський район)</t>
  </si>
  <si>
    <t>19534000000</t>
  </si>
  <si>
    <t>отг Коцюбинська  (Гусятинський район)</t>
  </si>
  <si>
    <t>19535000000</t>
  </si>
  <si>
    <t>отг Трибухівська  (Бучацький район)</t>
  </si>
  <si>
    <t>19536000000</t>
  </si>
  <si>
    <t>отг Черниховецька   (Збаразький район)</t>
  </si>
  <si>
    <t>20504000000</t>
  </si>
  <si>
    <t>отг Роганська  (Харківський район)</t>
  </si>
  <si>
    <t>21502000000</t>
  </si>
  <si>
    <t>отг Асканія-Нова  (Чаплинський район)</t>
  </si>
  <si>
    <t>21503000000</t>
  </si>
  <si>
    <t>отг Каланчацька  (Каланчацький район)</t>
  </si>
  <si>
    <t>21504000000</t>
  </si>
  <si>
    <t>отг Мирненська  (Каланчацький район)</t>
  </si>
  <si>
    <t>21505000000</t>
  </si>
  <si>
    <t>отг Чаплинська  (Чаплинський район)</t>
  </si>
  <si>
    <t>21506000000</t>
  </si>
  <si>
    <t>отг Зеленопідська  (Каховський район)</t>
  </si>
  <si>
    <t>21507000000</t>
  </si>
  <si>
    <t>21508000000</t>
  </si>
  <si>
    <t>отг Гладківська  (Голопристанський район)</t>
  </si>
  <si>
    <t>21509000000</t>
  </si>
  <si>
    <t>отг Присиваська  (Чаплинський район)</t>
  </si>
  <si>
    <t>21510000000</t>
  </si>
  <si>
    <t>отг Музиківська  (Білозерський район)</t>
  </si>
  <si>
    <t>21511000000</t>
  </si>
  <si>
    <t>отг Тавричанська  (Каховський район)</t>
  </si>
  <si>
    <t>21512000000</t>
  </si>
  <si>
    <t>отг Хрестівська  (Чаплинський район)</t>
  </si>
  <si>
    <t>22523000000</t>
  </si>
  <si>
    <t>отг Чемеровецька  (Чемеровецький район)</t>
  </si>
  <si>
    <t>22524000000</t>
  </si>
  <si>
    <t>отг Гуківська  (Чемеровецький район)</t>
  </si>
  <si>
    <t>22525000000</t>
  </si>
  <si>
    <t>отг Ленковецька  (Шепетівський район)</t>
  </si>
  <si>
    <t>22526000000</t>
  </si>
  <si>
    <t>отг Судилківська  (Шепетівський район)</t>
  </si>
  <si>
    <t>23504000000</t>
  </si>
  <si>
    <t>отг Тальнівська  (Тальнівський район)</t>
  </si>
  <si>
    <t>23505000000</t>
  </si>
  <si>
    <t>отг Стеблівська  (Корсунь-Шевченківський район)</t>
  </si>
  <si>
    <t>23506000000</t>
  </si>
  <si>
    <t>отг Набутівська  (Корсунь-Шевченківський район)</t>
  </si>
  <si>
    <t>24511000000</t>
  </si>
  <si>
    <t>отг Вашковецька  (Вижницький район)</t>
  </si>
  <si>
    <t>24512000000</t>
  </si>
  <si>
    <t>отг Вижницька  (Вижницький район)</t>
  </si>
  <si>
    <t>24513000000</t>
  </si>
  <si>
    <t>отг Сторожинецька  (Сторожинецький район)</t>
  </si>
  <si>
    <t>24514000000</t>
  </si>
  <si>
    <t>отг Красноїльська  (Сторожинецький район)</t>
  </si>
  <si>
    <t>24515000000</t>
  </si>
  <si>
    <t>отг Тереблеченська  (Глибоцький район)</t>
  </si>
  <si>
    <t>24516000000</t>
  </si>
  <si>
    <t>отг Чудейська  (Сторожинецький район)</t>
  </si>
  <si>
    <t>25506000000</t>
  </si>
  <si>
    <t>отг Батуринська  (Бахмацький район)</t>
  </si>
  <si>
    <t>25507000000</t>
  </si>
  <si>
    <t>отг Корюківська  (Корюківський район)</t>
  </si>
  <si>
    <t>25508000000</t>
  </si>
  <si>
    <t>отг Носівська  (Носівський район)</t>
  </si>
  <si>
    <t>25509000000</t>
  </si>
  <si>
    <t>отг Остерська  (Козелецький район)</t>
  </si>
  <si>
    <t>25510000000</t>
  </si>
  <si>
    <t>отг Сновська  (Сновський район)</t>
  </si>
  <si>
    <t>25511000000</t>
  </si>
  <si>
    <t>отг Гончарівська  (Чернігівський район)</t>
  </si>
  <si>
    <t>25512000000</t>
  </si>
  <si>
    <t>отг Коропська  (Коропський район)</t>
  </si>
  <si>
    <t>25513000000</t>
  </si>
  <si>
    <t>отг Лосинівська  (Ніжинський район)</t>
  </si>
  <si>
    <t>25514000000</t>
  </si>
  <si>
    <t>отг Михайло-Коцюбинська  (Чернігівський район)</t>
  </si>
  <si>
    <t>25515000000</t>
  </si>
  <si>
    <t>отг Іванівська  (Чернігівський район)</t>
  </si>
  <si>
    <t>25516000000</t>
  </si>
  <si>
    <t>отг Мринська  (Носівський район)</t>
  </si>
  <si>
    <t>отг. Жданівська (Хмільницький район)</t>
  </si>
  <si>
    <t>02522000000</t>
  </si>
  <si>
    <t>отг. Якушинецька (Вінницький район)</t>
  </si>
  <si>
    <t>02523000000</t>
  </si>
  <si>
    <t>отг. Кунківська (Гайсинський район)</t>
  </si>
  <si>
    <t>02524000000</t>
  </si>
  <si>
    <t>отг. Мурафська (Шаргородський район)</t>
  </si>
  <si>
    <t>03516000000</t>
  </si>
  <si>
    <t>отг. Колодяжненська (Ковельський район)</t>
  </si>
  <si>
    <t>03517000000</t>
  </si>
  <si>
    <t>отг. Заборольська (Луцький район)</t>
  </si>
  <si>
    <t>03518000000</t>
  </si>
  <si>
    <t>отг. Вишнівська (Любомльський район)</t>
  </si>
  <si>
    <t>03519000000</t>
  </si>
  <si>
    <t>отг. Забродівська (Ратнівський район)</t>
  </si>
  <si>
    <t>03520000000</t>
  </si>
  <si>
    <t>отг. Самарівська (Ратнівський район)</t>
  </si>
  <si>
    <t>отг. Сіверська (Бахмутський район)</t>
  </si>
  <si>
    <t>07504000000</t>
  </si>
  <si>
    <t>07505000000</t>
  </si>
  <si>
    <t>08517000000</t>
  </si>
  <si>
    <t>08518000000</t>
  </si>
  <si>
    <t>отг Кам'янсько-Дніпровська (Кам'янсько-Дніпровський район)</t>
  </si>
  <si>
    <t>08519000000</t>
  </si>
  <si>
    <t>отг Оріхівська (Оріхівський район)</t>
  </si>
  <si>
    <t>08520000000</t>
  </si>
  <si>
    <t>отг Великобілозерська (Великобілозерський район)</t>
  </si>
  <si>
    <t>08521000000</t>
  </si>
  <si>
    <t>08522000000</t>
  </si>
  <si>
    <t>08523000000</t>
  </si>
  <si>
    <t>08524000000</t>
  </si>
  <si>
    <t>отг Чернігівська (Чернігівський район)</t>
  </si>
  <si>
    <t>09512000000</t>
  </si>
  <si>
    <t>11506000000</t>
  </si>
  <si>
    <t>11507000000</t>
  </si>
  <si>
    <t>отг Ганнівська (Новоукраїнський район)</t>
  </si>
  <si>
    <t>12504000000</t>
  </si>
  <si>
    <t>13523000000</t>
  </si>
  <si>
    <t>отг Великолюбінська (Городоцький район)</t>
  </si>
  <si>
    <t>13524000000</t>
  </si>
  <si>
    <t>отг Магерівська (Жовківський район)</t>
  </si>
  <si>
    <t>13525000000</t>
  </si>
  <si>
    <t>14520000000</t>
  </si>
  <si>
    <t>15512000000</t>
  </si>
  <si>
    <t>16519000000</t>
  </si>
  <si>
    <t>отг Великобагачанська  (Великобагачанський район)</t>
  </si>
  <si>
    <t>16520000000</t>
  </si>
  <si>
    <t>17519000000</t>
  </si>
  <si>
    <t>отг Бокіймівська  (Млинівський район)</t>
  </si>
  <si>
    <t>18515000000</t>
  </si>
  <si>
    <t>18516000000</t>
  </si>
  <si>
    <t>18517000000</t>
  </si>
  <si>
    <t>18518000000</t>
  </si>
  <si>
    <t>отг Вільшанська  (Недригайлівський район)</t>
  </si>
  <si>
    <t>20505000000</t>
  </si>
  <si>
    <t>21513000000</t>
  </si>
  <si>
    <t>21514000000</t>
  </si>
  <si>
    <t>отг Виноградівська  (Олешківський район)</t>
  </si>
  <si>
    <t>23507000000</t>
  </si>
  <si>
    <t>23508000000</t>
  </si>
  <si>
    <t>23509000000</t>
  </si>
  <si>
    <t>отг Селищенська  (Корсунь-Шевченківський район)</t>
  </si>
  <si>
    <t>23510000000</t>
  </si>
  <si>
    <t>отг Ротмістрівська  (Смілянський район)</t>
  </si>
  <si>
    <t>24517000000</t>
  </si>
  <si>
    <t>24518000000</t>
  </si>
  <si>
    <t>25517000000</t>
  </si>
  <si>
    <t>отг Менська  (Менський район)</t>
  </si>
  <si>
    <t>25518000000</t>
  </si>
  <si>
    <t>отг Козелецька  (Козелецький район)</t>
  </si>
  <si>
    <t>25519000000</t>
  </si>
  <si>
    <t>отг Комарівська  (Борзнянський район)</t>
  </si>
  <si>
    <t>02525000000</t>
  </si>
  <si>
    <t>отг. Шляхівська (Бершадський район)</t>
  </si>
  <si>
    <t>02526000000</t>
  </si>
  <si>
    <t>отг. Іванівська (Калинівський район)</t>
  </si>
  <si>
    <t>02527000000</t>
  </si>
  <si>
    <t>отг. Глуховецька (Козятинський район)</t>
  </si>
  <si>
    <t>02528000000</t>
  </si>
  <si>
    <t>отг. Староприлуцька (Липовецький район)</t>
  </si>
  <si>
    <t>02529000000</t>
  </si>
  <si>
    <t>отг. Брацлавська (Немирівський район)</t>
  </si>
  <si>
    <t>02530000000</t>
  </si>
  <si>
    <t>отг. Лука-Мелешківська (Вінницький та Тиврівський райони)</t>
  </si>
  <si>
    <t>02531000000</t>
  </si>
  <si>
    <t>отг. Краснопільська (Гайсинський та Теплицький райони)</t>
  </si>
  <si>
    <t>02532000000</t>
  </si>
  <si>
    <t>отг. Росошанська (Липовецький та Оратівський райони)</t>
  </si>
  <si>
    <t>02533000000</t>
  </si>
  <si>
    <t>отг. Гніванська (Тиврівський та Жмеринський райони)</t>
  </si>
  <si>
    <t>03521000000</t>
  </si>
  <si>
    <t>отг. Зарічанська (Володимир-Волинський район)</t>
  </si>
  <si>
    <t>03522000000</t>
  </si>
  <si>
    <t>отг. Іваничівська (Іваничівський район)</t>
  </si>
  <si>
    <t>03523000000</t>
  </si>
  <si>
    <t>отг. Жидичинська (Ківерцівський район)</t>
  </si>
  <si>
    <t>03524000000</t>
  </si>
  <si>
    <t>отг. Цуманська (Ківерцівський район)</t>
  </si>
  <si>
    <t>03525000000</t>
  </si>
  <si>
    <t>отг. Боратинська (Луцький район)</t>
  </si>
  <si>
    <t>03526000000</t>
  </si>
  <si>
    <t>отг. Любешівська (Любешівський район)</t>
  </si>
  <si>
    <t>03527000000</t>
  </si>
  <si>
    <t>отг. Рівненська (Любомльський район)</t>
  </si>
  <si>
    <t>03528000000</t>
  </si>
  <si>
    <t>отг. Головненська (Любомльський район)</t>
  </si>
  <si>
    <t>03529000000</t>
  </si>
  <si>
    <t>отг. Любомльська (Любомльський район)</t>
  </si>
  <si>
    <t>03530000000</t>
  </si>
  <si>
    <t>отг. Колківська (Маневицький район)</t>
  </si>
  <si>
    <t>03531000000</t>
  </si>
  <si>
    <t>отг. Велимченська (Ратнівський район)</t>
  </si>
  <si>
    <t>03532000000</t>
  </si>
  <si>
    <t>отг. Копачівська (Рожищенський район)</t>
  </si>
  <si>
    <t>03533000000</t>
  </si>
  <si>
    <t>отг. Дубечненська (Старовижівський район)</t>
  </si>
  <si>
    <t>03534000000</t>
  </si>
  <si>
    <t>отг. Сереховичівська (Старовижівський район)</t>
  </si>
  <si>
    <t>03535000000</t>
  </si>
  <si>
    <t>отг. Смідинська (Старовижівський район)</t>
  </si>
  <si>
    <t>03536000000</t>
  </si>
  <si>
    <t>отг. Луківська (Турійський район)</t>
  </si>
  <si>
    <t>03537000000</t>
  </si>
  <si>
    <t>отг. Турійська (Турійський район)</t>
  </si>
  <si>
    <t>03538000000</t>
  </si>
  <si>
    <t>отг. Оваднівська (Володимир-Волинський та Турійський райони)</t>
  </si>
  <si>
    <t>03539000000</t>
  </si>
  <si>
    <t>отг. Городищенська (Луцький та Горохівський райони)</t>
  </si>
  <si>
    <t>м. Дніпро</t>
  </si>
  <si>
    <t xml:space="preserve">м. Кам'янське </t>
  </si>
  <si>
    <t>м. Покров</t>
  </si>
  <si>
    <t>Дніпровський р-н</t>
  </si>
  <si>
    <t>04535000000</t>
  </si>
  <si>
    <t>отг. Миколаївська (Васильківський район)</t>
  </si>
  <si>
    <t>04536000000</t>
  </si>
  <si>
    <t>отг. Верхньодніпровська (Верхньодніпровський район)</t>
  </si>
  <si>
    <t>04537000000</t>
  </si>
  <si>
    <t>отг. Межівська (Межівський район)</t>
  </si>
  <si>
    <t>04538000000</t>
  </si>
  <si>
    <t>отг. Лошкарівська (Нікопольський район)</t>
  </si>
  <si>
    <t>04539000000</t>
  </si>
  <si>
    <t>отг. Першотравневська (Нікопольський район)</t>
  </si>
  <si>
    <t>04540000000</t>
  </si>
  <si>
    <t>отг. Червоногригорівська (Нікопольський район)</t>
  </si>
  <si>
    <t>04541000000</t>
  </si>
  <si>
    <t>отг. Межиріцька (Павлоградський район)</t>
  </si>
  <si>
    <t>04542000000</t>
  </si>
  <si>
    <t>отг. Троїцька (Павлоградський район)</t>
  </si>
  <si>
    <t>04543000000</t>
  </si>
  <si>
    <t>отг. Петриківська (Петриківський район)</t>
  </si>
  <si>
    <t>04544000000</t>
  </si>
  <si>
    <t>отг. Миколаївська (Петропавлівський район)</t>
  </si>
  <si>
    <t>04545000000</t>
  </si>
  <si>
    <t>отг. Зайцівська (Синельниківський район)</t>
  </si>
  <si>
    <t>04546000000</t>
  </si>
  <si>
    <t>отг. Раївська (Синельниківський район)</t>
  </si>
  <si>
    <t>04547000000</t>
  </si>
  <si>
    <t>отг. Іларіонівська (Синельниківський район)</t>
  </si>
  <si>
    <t>04548000000</t>
  </si>
  <si>
    <t>отг. Славгородська (Синельниківський район)</t>
  </si>
  <si>
    <t>04549000000</t>
  </si>
  <si>
    <t>отг. Китайгородська (Царичанський район)</t>
  </si>
  <si>
    <t>04550000000</t>
  </si>
  <si>
    <t>отг. Карпівська (Широківський район)</t>
  </si>
  <si>
    <t>04551000000</t>
  </si>
  <si>
    <t>отг. Широківська (Широківський район)</t>
  </si>
  <si>
    <t>04552000000</t>
  </si>
  <si>
    <t>отг. Юр’ївська (Юр’ївський район)</t>
  </si>
  <si>
    <t>04553000000</t>
  </si>
  <si>
    <t>отг. Любимівська (Дніпровський та Синельниківський райони)</t>
  </si>
  <si>
    <t xml:space="preserve">м. Бахмут </t>
  </si>
  <si>
    <t xml:space="preserve">м. Торецьк </t>
  </si>
  <si>
    <t xml:space="preserve">м. Мирноград </t>
  </si>
  <si>
    <t xml:space="preserve">м. Хрестівка </t>
  </si>
  <si>
    <t>м. Лиман</t>
  </si>
  <si>
    <t xml:space="preserve">м. Покровськ </t>
  </si>
  <si>
    <t xml:space="preserve">м. Чистякове </t>
  </si>
  <si>
    <t xml:space="preserve">Бахмутський р-н </t>
  </si>
  <si>
    <t xml:space="preserve">Нікольський р-н </t>
  </si>
  <si>
    <t xml:space="preserve">Покровський р-н </t>
  </si>
  <si>
    <t xml:space="preserve">Мангушський р-н </t>
  </si>
  <si>
    <t xml:space="preserve">Бойківський р-н </t>
  </si>
  <si>
    <t>отг. Лиманська (м. Лиман)</t>
  </si>
  <si>
    <t>отг. Шахівська (Добропільський район)</t>
  </si>
  <si>
    <t>отг. Званівська (Бахмутський район)</t>
  </si>
  <si>
    <t>5509000000</t>
  </si>
  <si>
    <t>отг. Андріївська (Слов"янський район)</t>
  </si>
  <si>
    <t>Хорошівський р-н</t>
  </si>
  <si>
    <t xml:space="preserve"> Романівський р-н</t>
  </si>
  <si>
    <t xml:space="preserve">Пулинський р-н </t>
  </si>
  <si>
    <t>отг. Ємільчинська (Ємільчинський район)</t>
  </si>
  <si>
    <t>отг. Любарська (Любарський район)</t>
  </si>
  <si>
    <t>отг. Брониківська (Новоград-Волинський район)</t>
  </si>
  <si>
    <t>отг. Піщівська (Новоград-Волинський район)</t>
  </si>
  <si>
    <t>отг. Словечанська (Овруцький район)</t>
  </si>
  <si>
    <t>отг. Овруцька (Овруцький район)</t>
  </si>
  <si>
    <t>отг. Курненська (Пулинський район)</t>
  </si>
  <si>
    <t>отг. Мартинівська (Пулинський район)</t>
  </si>
  <si>
    <t>отг. Соколівська (Пулинський район)</t>
  </si>
  <si>
    <t>06533000000</t>
  </si>
  <si>
    <t>отг. Пулинська (Пулинський район)</t>
  </si>
  <si>
    <t>отг. Радомишльська (Радомишльський район)</t>
  </si>
  <si>
    <t>отг. Глибочицька (Житомирський та Коростишівський райони)</t>
  </si>
  <si>
    <t>отг. Оліївська (Житомирський та Черняхівський райони)</t>
  </si>
  <si>
    <t>отг. Іршавська (Іршавський район)</t>
  </si>
  <si>
    <t>отг. Перечинська (Перечинський район)</t>
  </si>
  <si>
    <t>07506000000</t>
  </si>
  <si>
    <t>отг. Баранинська (Ужгородський район)</t>
  </si>
  <si>
    <t>Більмацький р-н</t>
  </si>
  <si>
    <t>отг. Гуляйпільська (Гуляйпільський район)</t>
  </si>
  <si>
    <t>отг. Павлівська (Вільнянський район)</t>
  </si>
  <si>
    <t>отг. Широківська (Запорізький район)</t>
  </si>
  <si>
    <t>отг. Водянська (Кам'янсько-Дніпровський район)</t>
  </si>
  <si>
    <t>08525000000</t>
  </si>
  <si>
    <t>отг. Підгірненська (Василівський район)</t>
  </si>
  <si>
    <t>08526000000</t>
  </si>
  <si>
    <t>отг. Новоуспенівська (Веселівський район)</t>
  </si>
  <si>
    <t>08527000000</t>
  </si>
  <si>
    <t>отг. Чкаловська (Веселівський район)</t>
  </si>
  <si>
    <t>08528000000</t>
  </si>
  <si>
    <t>отг. Петро-Михайлівська  (Вільнянський район)</t>
  </si>
  <si>
    <t>08529000000</t>
  </si>
  <si>
    <t>отг.Воздвижівська (Гуляйпільський район)</t>
  </si>
  <si>
    <t>08530000000</t>
  </si>
  <si>
    <t>отг. Плодородненська  (Михайлівський район)</t>
  </si>
  <si>
    <t>08531000000</t>
  </si>
  <si>
    <t>отг Приазовська  (Приазовський район)</t>
  </si>
  <si>
    <t>08532000000</t>
  </si>
  <si>
    <t>отг Кирилівська  (Якимівський район)</t>
  </si>
  <si>
    <t>08533000000</t>
  </si>
  <si>
    <t>отг Якимівська  (Якимівський район)</t>
  </si>
  <si>
    <t>08534000000</t>
  </si>
  <si>
    <t>отг Новобогданівська (Мелітопольський та Михайлівський райони)</t>
  </si>
  <si>
    <t>отг. Олешанська (Тлумацький район)</t>
  </si>
  <si>
    <t>09513000000</t>
  </si>
  <si>
    <t>отг. Дзвиняцька (Богородчанський район)</t>
  </si>
  <si>
    <t>09514000000</t>
  </si>
  <si>
    <t>отг. Рожнівська (Косівський район)</t>
  </si>
  <si>
    <t>09515000000</t>
  </si>
  <si>
    <t xml:space="preserve">отг. Яблунівська (Косівський район) </t>
  </si>
  <si>
    <t>09516000000</t>
  </si>
  <si>
    <t>отг Переріслянська  (Надвірнянський район)</t>
  </si>
  <si>
    <t>09517000000</t>
  </si>
  <si>
    <t>отг Ланчинська  (Надвірнянський район)</t>
  </si>
  <si>
    <t>09518000000</t>
  </si>
  <si>
    <t>отг смт Заболотівська (Снятинський район)</t>
  </si>
  <si>
    <t>09519000000</t>
  </si>
  <si>
    <t>отг Ямницька (Тисменицький район)</t>
  </si>
  <si>
    <t>09520000000</t>
  </si>
  <si>
    <t>отг Брошнів-Осадська  (Рожнятівський та Калуський райони)</t>
  </si>
  <si>
    <t>10503000000</t>
  </si>
  <si>
    <t>отг Медвинська (Богуславський район)</t>
  </si>
  <si>
    <t>10504000000</t>
  </si>
  <si>
    <t>отг Великодимерська (Броварський район)</t>
  </si>
  <si>
    <t>10505000000</t>
  </si>
  <si>
    <t>отг Дівичківська (Переяслав-Хмельницький район)</t>
  </si>
  <si>
    <t>10506000000</t>
  </si>
  <si>
    <t>отг Фурсівська (Білоцерківський та Сквирський райони)</t>
  </si>
  <si>
    <t>м. Кропивницький</t>
  </si>
  <si>
    <t>Благовіщенський р-н</t>
  </si>
  <si>
    <t>отг. Великосеверинівська (Кіровоградський район)</t>
  </si>
  <si>
    <t>11508000000</t>
  </si>
  <si>
    <t>отг. Тишківська  (Добровеличківський район)</t>
  </si>
  <si>
    <t>11509000000</t>
  </si>
  <si>
    <t>отг. Катеринівська (Кіровоградський район)</t>
  </si>
  <si>
    <t>11510000000</t>
  </si>
  <si>
    <t>отг Первозванівська (Кіровоградський район)</t>
  </si>
  <si>
    <t>11511000000</t>
  </si>
  <si>
    <t>отг Компаніївська (Компаніївський район)</t>
  </si>
  <si>
    <t>11512000000</t>
  </si>
  <si>
    <t>отг Смолінська  (Маловисківський район)</t>
  </si>
  <si>
    <t>11513000000</t>
  </si>
  <si>
    <t>отг. Помічнянська  (Добровеличківський та Новоукраїнський райони)</t>
  </si>
  <si>
    <t xml:space="preserve">м. Голубівка </t>
  </si>
  <si>
    <t xml:space="preserve">м. Хрустальний </t>
  </si>
  <si>
    <t xml:space="preserve">м. Сорокине </t>
  </si>
  <si>
    <t xml:space="preserve">м. Довжанськ </t>
  </si>
  <si>
    <t xml:space="preserve">Сорокинський р-н </t>
  </si>
  <si>
    <t>отг. Троїцька (Троїцький район)</t>
  </si>
  <si>
    <t>12505000000</t>
  </si>
  <si>
    <t>отг. Біловодська  (Біловодський район)</t>
  </si>
  <si>
    <t>12506000000</t>
  </si>
  <si>
    <t>отг. Красноріченська (Кремінський район)</t>
  </si>
  <si>
    <t>12507000000</t>
  </si>
  <si>
    <t>отг. Привільська (Троїцький район)</t>
  </si>
  <si>
    <t>12508000000</t>
  </si>
  <si>
    <t>отг Нижньодуванська  (Сватівський та Троїцький райони)</t>
  </si>
  <si>
    <t>отг. Розвадівська (Миколаївський район)</t>
  </si>
  <si>
    <t>13526000000</t>
  </si>
  <si>
    <t>отг. Волицька (Мостиський район)</t>
  </si>
  <si>
    <t>13527000000</t>
  </si>
  <si>
    <t>отг. Підберізцівська (Пустомитівський район)</t>
  </si>
  <si>
    <t>13528000000</t>
  </si>
  <si>
    <t>отг. Солонківська (Пустомитівський район)</t>
  </si>
  <si>
    <t>13529000000</t>
  </si>
  <si>
    <t>отг. Щирецька (Пустомитівський район)</t>
  </si>
  <si>
    <t>13530000000</t>
  </si>
  <si>
    <t>отг. Рудківська (Самбірський район)</t>
  </si>
  <si>
    <t>13531000000</t>
  </si>
  <si>
    <t>отг. Славська  (Сколівський район)</t>
  </si>
  <si>
    <t>13532000000</t>
  </si>
  <si>
    <t>отг. Великомостівська (Сокальський район)</t>
  </si>
  <si>
    <t>13533000000</t>
  </si>
  <si>
    <t>отг. Воютицька (Самбірський та Старосамбірський  райони)</t>
  </si>
  <si>
    <t>Вітовський р-н</t>
  </si>
  <si>
    <t xml:space="preserve">отг.Дорошівська (Вознесенський район) </t>
  </si>
  <si>
    <t>14521000000</t>
  </si>
  <si>
    <t>отг Новополтавська (Новобузький район)</t>
  </si>
  <si>
    <t>м. Чорноморськ</t>
  </si>
  <si>
    <t xml:space="preserve">м. Подільськ </t>
  </si>
  <si>
    <t xml:space="preserve">Лиманський р-н </t>
  </si>
  <si>
    <t xml:space="preserve">Подільський р-н </t>
  </si>
  <si>
    <t xml:space="preserve">Окнянський р-н </t>
  </si>
  <si>
    <t xml:space="preserve">Захарівський р-н </t>
  </si>
  <si>
    <t>отг. Яськівська (Біляївський район)</t>
  </si>
  <si>
    <t>15513000000</t>
  </si>
  <si>
    <t>отг. Куяльницька  (Подільський район)</t>
  </si>
  <si>
    <t>15514000000</t>
  </si>
  <si>
    <t>отг. Березівська (Березівський район)</t>
  </si>
  <si>
    <t>15515000000</t>
  </si>
  <si>
    <t>отг. Старокозацька (Білгород-Дністровський район)</t>
  </si>
  <si>
    <t>15516000000</t>
  </si>
  <si>
    <t>отг. Шабівська (Білгород-Дністровський район)</t>
  </si>
  <si>
    <t>15517000000</t>
  </si>
  <si>
    <t>отг. Вилківська (Кілійський район)</t>
  </si>
  <si>
    <t>15518000000</t>
  </si>
  <si>
    <t>отг. Авангардівська (Овідіопольський район)</t>
  </si>
  <si>
    <t>15519000000</t>
  </si>
  <si>
    <t>отг Дальницька  (Овідіопольський район)</t>
  </si>
  <si>
    <t>15520000000</t>
  </si>
  <si>
    <t>отг. Лиманська (Татарбунарський район)</t>
  </si>
  <si>
    <t>15521000000</t>
  </si>
  <si>
    <t>отг Маяківська (Біляївський, Білгород-Дністровський та Овідіопольський райони)</t>
  </si>
  <si>
    <t>15522000000</t>
  </si>
  <si>
    <t>отг Цебриківська  (Великомихайлівський та Ширяївський райони)</t>
  </si>
  <si>
    <t>15523000000</t>
  </si>
  <si>
    <t>отг Знам’янська (Іванівський, Великомихайлівський та Ширяївський райони)</t>
  </si>
  <si>
    <t xml:space="preserve">м. Горішні Плавні </t>
  </si>
  <si>
    <t>отг. Рокитянська (Великобагачанський район)</t>
  </si>
  <si>
    <t>16521000000</t>
  </si>
  <si>
    <t>отг Гребінківська (Гребінківський район)</t>
  </si>
  <si>
    <t>16522000000</t>
  </si>
  <si>
    <t>отг Ланнівська (Карлівський район)</t>
  </si>
  <si>
    <t>16523000000</t>
  </si>
  <si>
    <t>отг Бутенківська (Кобеляцький район)</t>
  </si>
  <si>
    <t>16524000000</t>
  </si>
  <si>
    <t>отг Лохвицька (Лохвицький район)</t>
  </si>
  <si>
    <t>16525000000</t>
  </si>
  <si>
    <t>отг Михайлівська (Машівський район)</t>
  </si>
  <si>
    <t>16526000000</t>
  </si>
  <si>
    <t>отг Драбинівська (Новосанжарський район)</t>
  </si>
  <si>
    <t>16527000000</t>
  </si>
  <si>
    <t xml:space="preserve">отг Малоперещепинська (Новосанжарський район) </t>
  </si>
  <si>
    <t>16528000000</t>
  </si>
  <si>
    <t xml:space="preserve">отг Нехворощанська (Новосанжарський район) </t>
  </si>
  <si>
    <t>16529000000</t>
  </si>
  <si>
    <t xml:space="preserve">отг Руденківська (Новосанжарський район) </t>
  </si>
  <si>
    <t>16530000000</t>
  </si>
  <si>
    <t xml:space="preserve">отг Новосанжарська (Новосанжарський район) </t>
  </si>
  <si>
    <t>16531000000</t>
  </si>
  <si>
    <t>отг Новогалещинська (Козельщинський та Кременчуцький райони)</t>
  </si>
  <si>
    <t>16532000000</t>
  </si>
  <si>
    <t>отг Сенчанська (Лохвицький та Лубенський райони)</t>
  </si>
  <si>
    <t>м. Вараш</t>
  </si>
  <si>
    <t>17520000000</t>
  </si>
  <si>
    <t>отг. Тараканівська  (Дубенський район)</t>
  </si>
  <si>
    <t>17521000000</t>
  </si>
  <si>
    <t>отг. Ярославицька  (Млинівський район)</t>
  </si>
  <si>
    <t>17522000000</t>
  </si>
  <si>
    <t>отг. Клеванська  (Рівненський район)</t>
  </si>
  <si>
    <t>17523000000</t>
  </si>
  <si>
    <t>отг. Немовицька  (Сарненський  район)</t>
  </si>
  <si>
    <t>17524000000</t>
  </si>
  <si>
    <t>отг. Демидівська  (Демидівський, Радивилівський райони)</t>
  </si>
  <si>
    <t>отг. Кролевецька (Кролевецький район)</t>
  </si>
  <si>
    <t>отг. Краснопільська (Краснопільський район)</t>
  </si>
  <si>
    <t>отг. Бочечківська (Конотопський район)</t>
  </si>
  <si>
    <t>18519000000</t>
  </si>
  <si>
    <t>отг. Буринська   (Буринський район)</t>
  </si>
  <si>
    <t>18520000000</t>
  </si>
  <si>
    <t>отг Дубов’язівська  (Конотопський район)</t>
  </si>
  <si>
    <t>18521000000</t>
  </si>
  <si>
    <t>отг Коровинська  (Недригайлівський район)</t>
  </si>
  <si>
    <t>18522000000</t>
  </si>
  <si>
    <t>отг Комишанська (Охтирський район)</t>
  </si>
  <si>
    <t>18523000000</t>
  </si>
  <si>
    <t>отг Чернеччинська (Охтирський район)</t>
  </si>
  <si>
    <t>18524000000</t>
  </si>
  <si>
    <t>отг Новослобідська (Путивльський район)</t>
  </si>
  <si>
    <t>18525000000</t>
  </si>
  <si>
    <t>отг Степанівська (Сумський район)</t>
  </si>
  <si>
    <t>18526000000</t>
  </si>
  <si>
    <t>отг Тростянецька (Тростянецький район)</t>
  </si>
  <si>
    <t>18527000000</t>
  </si>
  <si>
    <t>отг с. Верхньосироватська (Сумський та Краснопільський райони)</t>
  </si>
  <si>
    <t>19537000000</t>
  </si>
  <si>
    <t>отг. Саранчуківська (Бережанський район)</t>
  </si>
  <si>
    <t>19538000000</t>
  </si>
  <si>
    <t>отг. Лановецька (Лановецький район)</t>
  </si>
  <si>
    <t>19539000000</t>
  </si>
  <si>
    <t>отг. Хоростківська (Гусятинський та Теребовлянський райони)</t>
  </si>
  <si>
    <t>19540000000</t>
  </si>
  <si>
    <t>отг. Зборівська (Зборівський та Козівський райони)</t>
  </si>
  <si>
    <t>отг. Нововодолазька (Нововодолазький район)</t>
  </si>
  <si>
    <t>20506000000</t>
  </si>
  <si>
    <t>отг Малоданилівська (Дергачівський район)</t>
  </si>
  <si>
    <t>20507000000</t>
  </si>
  <si>
    <t>отг Зачепилівська (Зачепилівський район)</t>
  </si>
  <si>
    <t>20508000000</t>
  </si>
  <si>
    <t>отг Золочівська  (Золочівський район)</t>
  </si>
  <si>
    <t>20509000000</t>
  </si>
  <si>
    <t>отг. Оскільська   (Ізюмський район)</t>
  </si>
  <si>
    <t>20510000000</t>
  </si>
  <si>
    <t>отг. Коломацька   (Коломацький  район)</t>
  </si>
  <si>
    <t>20511000000</t>
  </si>
  <si>
    <t>отг Наталинська  (Красноградський район)</t>
  </si>
  <si>
    <t>20512000000</t>
  </si>
  <si>
    <t>отг Малинівська (Чугуївський район)</t>
  </si>
  <si>
    <t xml:space="preserve">Олешківський р-н </t>
  </si>
  <si>
    <t>отг Великокопанівська  (Олешківський район)</t>
  </si>
  <si>
    <t>отг. Горностаївська (Горностаївський район)</t>
  </si>
  <si>
    <t>21515000000</t>
  </si>
  <si>
    <t>отг. Станіславська   (Білозерський район)</t>
  </si>
  <si>
    <t>21516000000</t>
  </si>
  <si>
    <t>отг Білозерська  (Білозерський район)</t>
  </si>
  <si>
    <t>21517000000</t>
  </si>
  <si>
    <t>отг Борозенська (Великоолександрівський район)</t>
  </si>
  <si>
    <t>21518000000</t>
  </si>
  <si>
    <t>отг Високопільська (Високопільський район)</t>
  </si>
  <si>
    <t>21519000000</t>
  </si>
  <si>
    <t>отг Бехтерська (Голопристанський район)</t>
  </si>
  <si>
    <t>21520000000</t>
  </si>
  <si>
    <t>отг Чулаківська (Голопристанський район)</t>
  </si>
  <si>
    <t>21521000000</t>
  </si>
  <si>
    <t>отг с. Костянтинівська (Горностаївський район)</t>
  </si>
  <si>
    <t>21522000000</t>
  </si>
  <si>
    <t>отг Іванівська  (Іванівський район)</t>
  </si>
  <si>
    <t>21523000000</t>
  </si>
  <si>
    <t>отг Ювілейна (Олешківський район)</t>
  </si>
  <si>
    <t>21524000000</t>
  </si>
  <si>
    <t>отг Любимівська (Каховський та Горностаївський райони)</t>
  </si>
  <si>
    <t>22527000000</t>
  </si>
  <si>
    <t>отг. Городоцька  (Городоцький район)</t>
  </si>
  <si>
    <t>22528000000</t>
  </si>
  <si>
    <t>отг.Слобідсько-Кульчієвецька   (Кам’янець-Подільський район)</t>
  </si>
  <si>
    <t>22529000000</t>
  </si>
  <si>
    <t>отг. Антонінська  (Красилівський район)</t>
  </si>
  <si>
    <t>22530000000</t>
  </si>
  <si>
    <t>отг.Красилівська   (Красилівський район)</t>
  </si>
  <si>
    <t>22531000000</t>
  </si>
  <si>
    <t>отг. Олешинська  (Хмельницький район)</t>
  </si>
  <si>
    <t>22532000000</t>
  </si>
  <si>
    <t>отг. Солобковецька  (Ярмолинецький район)</t>
  </si>
  <si>
    <t>22533000000</t>
  </si>
  <si>
    <t>отг. Грицівська  (Шепетівський та Полонський райони)</t>
  </si>
  <si>
    <t>отг.Шполянська (Шполянський район)</t>
  </si>
  <si>
    <t>отг.Степанецька (Канівський район)</t>
  </si>
  <si>
    <t>23511000000</t>
  </si>
  <si>
    <t>отг. Мліївська (Городищенський район)</t>
  </si>
  <si>
    <t>23512000000</t>
  </si>
  <si>
    <t>отг. Бузівська (Жашківський район)</t>
  </si>
  <si>
    <t>23513000000</t>
  </si>
  <si>
    <t>отг. Соколівська (Жашківський район)</t>
  </si>
  <si>
    <t>23514000000</t>
  </si>
  <si>
    <t>отг. Жашківська  (Жашківський район)</t>
  </si>
  <si>
    <t>23515000000</t>
  </si>
  <si>
    <t>отг. Кам’янська (Кам’янський район)</t>
  </si>
  <si>
    <t>23516000000</t>
  </si>
  <si>
    <t>отг. Ліплявська (Канівський район)</t>
  </si>
  <si>
    <t>23517000000</t>
  </si>
  <si>
    <t>отг. Карашинська (Корсунь-Шевченківський район)</t>
  </si>
  <si>
    <t>23518000000</t>
  </si>
  <si>
    <t>отг. Моринська (Корсунь-Шевченківський район)</t>
  </si>
  <si>
    <t>23519000000</t>
  </si>
  <si>
    <t>отг. Іваньківська (Маньківський район)</t>
  </si>
  <si>
    <t>23520000000</t>
  </si>
  <si>
    <t>отг. Паланська (Уманський район)</t>
  </si>
  <si>
    <t>23521000000</t>
  </si>
  <si>
    <t>отг. Степанківська (Черкаський район)</t>
  </si>
  <si>
    <t>23522000000</t>
  </si>
  <si>
    <t>отг. Іркліївська (Чорнобаївський район)</t>
  </si>
  <si>
    <t>23523000000</t>
  </si>
  <si>
    <t>отг. Матусівська (Шполянський район)</t>
  </si>
  <si>
    <t>23524000000</t>
  </si>
  <si>
    <t>отг. Зорівська (Золотоніський та Драбівський райони)</t>
  </si>
  <si>
    <t>отг. Конятинська (Путильський район)</t>
  </si>
  <si>
    <t>отг. Селятинська (Путильський район)</t>
  </si>
  <si>
    <t>24519000000</t>
  </si>
  <si>
    <t>отг. Острицька  (Герцаївський  район)</t>
  </si>
  <si>
    <t>24520000000</t>
  </si>
  <si>
    <t>отг. Мамаївська  (Кіцманський район)</t>
  </si>
  <si>
    <t>24521000000</t>
  </si>
  <si>
    <t>отг. Кіцманська   (Кіцманський район)</t>
  </si>
  <si>
    <t>24522000000</t>
  </si>
  <si>
    <t>отг. Магальська  (Новоселицький район)</t>
  </si>
  <si>
    <t xml:space="preserve">Сновський р-н </t>
  </si>
  <si>
    <t>25520000000</t>
  </si>
  <si>
    <t>отг.Новобасанська  (Бобровицький район)</t>
  </si>
  <si>
    <t>25521000000</t>
  </si>
  <si>
    <t>отг. Бобровицька  (Бобровицький район)</t>
  </si>
  <si>
    <t>25522000000</t>
  </si>
  <si>
    <t>отг.Плисківська  (Борзнянський район)</t>
  </si>
  <si>
    <t>25523000000</t>
  </si>
  <si>
    <t>отг.Тупичівська  (Городнянський район)</t>
  </si>
  <si>
    <t>25524000000</t>
  </si>
  <si>
    <t>отг.Ічнянська  (Ічнянський район)</t>
  </si>
  <si>
    <t>25525000000</t>
  </si>
  <si>
    <t>отг Куликівська (Куликівський район)</t>
  </si>
  <si>
    <t>25526000000</t>
  </si>
  <si>
    <t>отг Малодівицька (Прилуцький район)</t>
  </si>
  <si>
    <t>25527000000</t>
  </si>
  <si>
    <t>отг Любецька (Ріпкинський район)</t>
  </si>
  <si>
    <t>25528000000</t>
  </si>
  <si>
    <t>отг Семенівська (Семенівський район)</t>
  </si>
  <si>
    <t>25529000000</t>
  </si>
  <si>
    <t>отг Сосницька (Сосницький район)</t>
  </si>
  <si>
    <t>25530000000</t>
  </si>
  <si>
    <t>отг Срібнянська (Срібнянський район)</t>
  </si>
  <si>
    <t>25531000000</t>
  </si>
  <si>
    <t xml:space="preserve"> отг Талалаївська (Талалаївський район)</t>
  </si>
  <si>
    <t>25532000000</t>
  </si>
  <si>
    <t>отг Холминська (Корюківський та Семенівський райони)</t>
  </si>
  <si>
    <t>25533000000</t>
  </si>
  <si>
    <t>отг Олишівська (Чернігівський та Куликівський райони)</t>
  </si>
  <si>
    <t>отг. Святовасилівська (Солонянський район)</t>
  </si>
  <si>
    <t>отг. Вакулівська (Софіївський район)</t>
  </si>
  <si>
    <t>отг. Грушівська  (Апостолівський район)</t>
  </si>
  <si>
    <t>отг. Новоолександрівська (Дніпровський район)</t>
  </si>
  <si>
    <t>отг. Сурсько-Литовська (Дніпровський район)</t>
  </si>
  <si>
    <t>отг. Слобожанська (Дніпровський район)</t>
  </si>
  <si>
    <t>отг Іршанська (Хорошівський р-н)</t>
  </si>
  <si>
    <t>отг Новоборівська (Хорошівський р-н)</t>
  </si>
  <si>
    <t>отг Комиш-Зорянська (Більмацький район)</t>
  </si>
  <si>
    <t>отг Смирновська (Більмацький район)</t>
  </si>
  <si>
    <t>отг Воскресенська (Пологівський район)</t>
  </si>
  <si>
    <t xml:space="preserve">м. Кадіївка </t>
  </si>
  <si>
    <t>отг Красносільська (Лиманський район)</t>
  </si>
  <si>
    <t>отг Новокальчевська  (Березівський район)</t>
  </si>
  <si>
    <t>отг Новознам'янська  (Кременчуцький район)</t>
  </si>
  <si>
    <t>02534000000</t>
  </si>
  <si>
    <t>отг. Новогребельська (Калинівський район)</t>
  </si>
  <si>
    <t>03540000000</t>
  </si>
  <si>
    <t>отг. Затурцівська (Локачинський район)</t>
  </si>
  <si>
    <t>04554000000</t>
  </si>
  <si>
    <t>отг. Українська (Петропавлівський район)</t>
  </si>
  <si>
    <t>04555000000</t>
  </si>
  <si>
    <t>отг. Саксаганська (П’ятихатський район)</t>
  </si>
  <si>
    <t>04556000000</t>
  </si>
  <si>
    <t>отг Девладівська (Софіївський район)</t>
  </si>
  <si>
    <t>06534000000</t>
  </si>
  <si>
    <t>06535000000</t>
  </si>
  <si>
    <t>06536000000</t>
  </si>
  <si>
    <t>06537000000</t>
  </si>
  <si>
    <t>06538000000</t>
  </si>
  <si>
    <t>06539000000</t>
  </si>
  <si>
    <t>06540000000</t>
  </si>
  <si>
    <t>06541000000</t>
  </si>
  <si>
    <t>06542000000</t>
  </si>
  <si>
    <t>06543000000</t>
  </si>
  <si>
    <t>06544000000</t>
  </si>
  <si>
    <t>06545000000</t>
  </si>
  <si>
    <t>08535000000</t>
  </si>
  <si>
    <t>отг Благовіщенська (Кам’янсько-Дніпровський район)</t>
  </si>
  <si>
    <t>08536000000</t>
  </si>
  <si>
    <t>отг Новоолексіївська (Приморський район)</t>
  </si>
  <si>
    <t>09521000000</t>
  </si>
  <si>
    <t>отг. Войнилівська (Калуський район)</t>
  </si>
  <si>
    <t>09522000000</t>
  </si>
  <si>
    <t>отг. Делятинська  (Надвірнянський район)</t>
  </si>
  <si>
    <t>09523000000</t>
  </si>
  <si>
    <t xml:space="preserve">отг. Спаська  (Рожнятівський район) </t>
  </si>
  <si>
    <t>10507000000</t>
  </si>
  <si>
    <t>отг Узинська (Білоцерківський район)</t>
  </si>
  <si>
    <t>10508000000</t>
  </si>
  <si>
    <t>отг Тетіївська (Тетіївський район)</t>
  </si>
  <si>
    <t>10509000000</t>
  </si>
  <si>
    <t>отг Студениківська (Переяслав-Хмельницький район)</t>
  </si>
  <si>
    <t>13534000000</t>
  </si>
  <si>
    <t>отг.Кам’янка-Бузька  (Кам’янка-Бузький район)</t>
  </si>
  <si>
    <t>13535000000</t>
  </si>
  <si>
    <t>отг. Мурованська (Пустомитівський район)</t>
  </si>
  <si>
    <t>14522000000</t>
  </si>
  <si>
    <t>отг  Березанська  (Березанський район)</t>
  </si>
  <si>
    <t>14523000000</t>
  </si>
  <si>
    <t>отг. Прибузька   (Доманівський район)</t>
  </si>
  <si>
    <t>14524000000</t>
  </si>
  <si>
    <t>отг. Володимирівська (Казанківський район )</t>
  </si>
  <si>
    <t>14525000000</t>
  </si>
  <si>
    <t>отг. Казанківська  (Казанківський район )</t>
  </si>
  <si>
    <t>14526000000</t>
  </si>
  <si>
    <t>отг. Широківська  (Снігурівський район)</t>
  </si>
  <si>
    <t>14527000000</t>
  </si>
  <si>
    <t>отг. Радсадівська (Миколаївський та Очаківський райони)</t>
  </si>
  <si>
    <t>14528000000</t>
  </si>
  <si>
    <t>отг. Арбузинська (Арбузинський район)</t>
  </si>
  <si>
    <t>15524000000</t>
  </si>
  <si>
    <t>отг. Мологівська  (Білгород-Дністровський район)</t>
  </si>
  <si>
    <t>15525000000</t>
  </si>
  <si>
    <t>отг Таїровська (Овідіопольський район)</t>
  </si>
  <si>
    <t>16533000000</t>
  </si>
  <si>
    <t>отг Петрівсько-Роменська (Гадяцький район)</t>
  </si>
  <si>
    <t>16534000000</t>
  </si>
  <si>
    <t>отг Козельщинська (Козельщинський район район)</t>
  </si>
  <si>
    <t>16535000000</t>
  </si>
  <si>
    <t>отг Машівська (Машівський район)</t>
  </si>
  <si>
    <t>16536000000</t>
  </si>
  <si>
    <t>отг Щербанівська (Полтавський район)</t>
  </si>
  <si>
    <t>16537000000</t>
  </si>
  <si>
    <t>отг Оболонська (Семенівський район)</t>
  </si>
  <si>
    <t>16538000000</t>
  </si>
  <si>
    <t>отг Заворсклянська (Полтавський та Новосанжарський райони)</t>
  </si>
  <si>
    <t>16539000000</t>
  </si>
  <si>
    <t>ПДФО  грн./на 1 жителя</t>
  </si>
  <si>
    <t>m</t>
  </si>
  <si>
    <t>м. Вінниця</t>
  </si>
  <si>
    <t>м. Жмеринка</t>
  </si>
  <si>
    <t>м. Козятин</t>
  </si>
  <si>
    <t>м. Ладижин</t>
  </si>
  <si>
    <t>м. Могилів-Подільський</t>
  </si>
  <si>
    <t>м. Хмільник</t>
  </si>
  <si>
    <t>-</t>
  </si>
  <si>
    <t>vm</t>
  </si>
  <si>
    <t xml:space="preserve">Разом по бюджетах міст </t>
  </si>
  <si>
    <t>r</t>
  </si>
  <si>
    <t>Барський р-н</t>
  </si>
  <si>
    <t>Бершадський р-н</t>
  </si>
  <si>
    <t>Вінницький р-н</t>
  </si>
  <si>
    <t>Гайсинський р-н</t>
  </si>
  <si>
    <t>Жмеринський р-н</t>
  </si>
  <si>
    <t>Іллінецький р-н</t>
  </si>
  <si>
    <t>Калинівський р-н</t>
  </si>
  <si>
    <t>Козятинський р-н</t>
  </si>
  <si>
    <t>Крижопільський р-н</t>
  </si>
  <si>
    <t>Липовецький р-н</t>
  </si>
  <si>
    <t>Літинський р-н</t>
  </si>
  <si>
    <t>Могилів-Подільський р-н</t>
  </si>
  <si>
    <t>Мурованокуриловецький р-н</t>
  </si>
  <si>
    <t>Немирівський р-н</t>
  </si>
  <si>
    <t>Оратівський р-н</t>
  </si>
  <si>
    <t>Піщанський р-н</t>
  </si>
  <si>
    <t>Погребищенський р-н</t>
  </si>
  <si>
    <t>Теплицький р-н</t>
  </si>
  <si>
    <t>Тиврівський р-н</t>
  </si>
  <si>
    <t>Томашпільський р-н</t>
  </si>
  <si>
    <t>Тростянецький р-н</t>
  </si>
  <si>
    <t>Тульчинський р-н</t>
  </si>
  <si>
    <t>Хмільницький р-н</t>
  </si>
  <si>
    <t>Чернівецький р-н</t>
  </si>
  <si>
    <t>Чечельницький р-н</t>
  </si>
  <si>
    <t>Шаргородський р-н</t>
  </si>
  <si>
    <t>Ямпільський р-н</t>
  </si>
  <si>
    <t>vr</t>
  </si>
  <si>
    <t>Разом по бюджетах районів</t>
  </si>
  <si>
    <t>о</t>
  </si>
  <si>
    <t>Обласний бюджет</t>
  </si>
  <si>
    <t>v</t>
  </si>
  <si>
    <t>Зведений бюджет Вінницької області</t>
  </si>
  <si>
    <t>м. Луцьк</t>
  </si>
  <si>
    <t>м. Володимир-Волинський</t>
  </si>
  <si>
    <t>м. Ковель</t>
  </si>
  <si>
    <t>м. Нововолинськ</t>
  </si>
  <si>
    <t>Володимир-Волинський р-н</t>
  </si>
  <si>
    <t>Горохівський р-н</t>
  </si>
  <si>
    <t>Іваничівський р-н</t>
  </si>
  <si>
    <t>Камінь-Каширський р-н</t>
  </si>
  <si>
    <t>Ківерцівський р-н</t>
  </si>
  <si>
    <t>Ковельський р-н</t>
  </si>
  <si>
    <t>Локачинський р-н</t>
  </si>
  <si>
    <t>Луцький р-н</t>
  </si>
  <si>
    <t>Любешівський р-н</t>
  </si>
  <si>
    <t>Любомльський р-н</t>
  </si>
  <si>
    <t>Маневицький р-н</t>
  </si>
  <si>
    <t>Ратнівський р-н</t>
  </si>
  <si>
    <t>Рожищенський р-н</t>
  </si>
  <si>
    <t>Старовижівський р-н</t>
  </si>
  <si>
    <t>Турійський р-н</t>
  </si>
  <si>
    <t>Шацький р-н</t>
  </si>
  <si>
    <t>Зведений бюджет Волинської області</t>
  </si>
  <si>
    <t>м. Вiльногiрськ</t>
  </si>
  <si>
    <t>м. Жовтi Води</t>
  </si>
  <si>
    <t>м. Кривий Рiг</t>
  </si>
  <si>
    <t>м. Марганець</t>
  </si>
  <si>
    <t>м. Нiкополь</t>
  </si>
  <si>
    <t>м. Новомосковськ</t>
  </si>
  <si>
    <t>м. Павлоград</t>
  </si>
  <si>
    <t>м. Першотравенськ</t>
  </si>
  <si>
    <t>м. Синельникове</t>
  </si>
  <si>
    <t>м. Тернівка</t>
  </si>
  <si>
    <t>Апостолiвський р-н</t>
  </si>
  <si>
    <t>Василькiвский р-н</t>
  </si>
  <si>
    <t>Верхньоднiпровський р-н</t>
  </si>
  <si>
    <t>Криворiзький р-н</t>
  </si>
  <si>
    <t>Криничанський р-н</t>
  </si>
  <si>
    <t>Магдалинiвський р-н</t>
  </si>
  <si>
    <t>Межiвський р-н</t>
  </si>
  <si>
    <t>Нiкопольський р-н</t>
  </si>
  <si>
    <t>Новомосковський р-н</t>
  </si>
  <si>
    <t>Павлоградський р-н</t>
  </si>
  <si>
    <t>Петрикiвський р-н</t>
  </si>
  <si>
    <t>Петропавлiвський р-н</t>
  </si>
  <si>
    <t>Покровський р-н</t>
  </si>
  <si>
    <t>П'ятихатський р-н</t>
  </si>
  <si>
    <t>Синельникiвський р-н</t>
  </si>
  <si>
    <t>Солонянський р-н</t>
  </si>
  <si>
    <t>Софiївський р-н</t>
  </si>
  <si>
    <t>Томакiвський р-н</t>
  </si>
  <si>
    <t>Царичанський р-н</t>
  </si>
  <si>
    <t>Широкiвський р-н</t>
  </si>
  <si>
    <t>Юр'ївський р-н</t>
  </si>
  <si>
    <t>Зведений бюджет Дніпропетровської області</t>
  </si>
  <si>
    <t>м. Донецьк</t>
  </si>
  <si>
    <t>м. Авдіївка</t>
  </si>
  <si>
    <t>м. Вугледар</t>
  </si>
  <si>
    <t>м. Горлівка</t>
  </si>
  <si>
    <t>м. Дебальцеве</t>
  </si>
  <si>
    <t>м. Добропілля</t>
  </si>
  <si>
    <t>м. Докучаєвськ</t>
  </si>
  <si>
    <t>м. Дружківка</t>
  </si>
  <si>
    <t>м. Єнакієве</t>
  </si>
  <si>
    <t>м. Жданівка</t>
  </si>
  <si>
    <t>м. Костянтинівка</t>
  </si>
  <si>
    <t>м. Краматорськ</t>
  </si>
  <si>
    <t>м. Макіївка</t>
  </si>
  <si>
    <t>м. Маріуполь</t>
  </si>
  <si>
    <t>м. Новогродівка</t>
  </si>
  <si>
    <t>м. Селидове</t>
  </si>
  <si>
    <t>м. Слов'янськ</t>
  </si>
  <si>
    <t>м. Сніжне</t>
  </si>
  <si>
    <t>м. Харцизьк</t>
  </si>
  <si>
    <t>м. Шахтарськ</t>
  </si>
  <si>
    <t>м. Ясинувата</t>
  </si>
  <si>
    <t>Амвpосіївський р-н</t>
  </si>
  <si>
    <t>Великоновосілківський р-н</t>
  </si>
  <si>
    <t>Волновахський р-н</t>
  </si>
  <si>
    <t>Добpопільський р-н</t>
  </si>
  <si>
    <t>Констянтинівський р-н</t>
  </si>
  <si>
    <t>Маp'їнський р-н</t>
  </si>
  <si>
    <t>Hовоазовський р-н</t>
  </si>
  <si>
    <t>Олександрівський р-н</t>
  </si>
  <si>
    <t>Слов'янський р-н</t>
  </si>
  <si>
    <t>Стаpобешівський р-н</t>
  </si>
  <si>
    <t>Шахтаpський р-н</t>
  </si>
  <si>
    <t>Ясинуватcький р-н</t>
  </si>
  <si>
    <t>Зведений бюджет Донецької області</t>
  </si>
  <si>
    <t>м. Житомир</t>
  </si>
  <si>
    <t>м. Бердичів</t>
  </si>
  <si>
    <t>м. Коростень</t>
  </si>
  <si>
    <t>м. Новоград-Волинський</t>
  </si>
  <si>
    <t>м. Малин</t>
  </si>
  <si>
    <t>Андрушівський р-н</t>
  </si>
  <si>
    <t>Баранівський р-н</t>
  </si>
  <si>
    <t>Бердичівський р-н</t>
  </si>
  <si>
    <t>Брусилівський р-н</t>
  </si>
  <si>
    <t>Ємільчинський р-н</t>
  </si>
  <si>
    <t>Житомирський р-н</t>
  </si>
  <si>
    <t>Коростенський р-н</t>
  </si>
  <si>
    <t>Лугинський р-н</t>
  </si>
  <si>
    <t>Любарський р-н</t>
  </si>
  <si>
    <t>Малинський р-н</t>
  </si>
  <si>
    <t>Народицький р-н</t>
  </si>
  <si>
    <t>Новоград-Волинський р-н</t>
  </si>
  <si>
    <t>Овруцький р-н</t>
  </si>
  <si>
    <t>Олевський р-н</t>
  </si>
  <si>
    <t>Радомишльський р-н</t>
  </si>
  <si>
    <t>Ружинськийр-н</t>
  </si>
  <si>
    <t>Черняхівський р-н</t>
  </si>
  <si>
    <t>Чуднівський р-н</t>
  </si>
  <si>
    <t>Зведений бюджет Житомирської  області</t>
  </si>
  <si>
    <t>м. Ужгород</t>
  </si>
  <si>
    <t>м.Берегове</t>
  </si>
  <si>
    <t>м. Мукачеве</t>
  </si>
  <si>
    <t>м. Хуст</t>
  </si>
  <si>
    <t xml:space="preserve"> м. Чоп</t>
  </si>
  <si>
    <t>Берегівський р-н</t>
  </si>
  <si>
    <t>Великоберезнянський р-н</t>
  </si>
  <si>
    <t>Виноградівський р-н</t>
  </si>
  <si>
    <t>Воловецький р-н</t>
  </si>
  <si>
    <t>Іршавський р-н</t>
  </si>
  <si>
    <t>Міжгірський р-н</t>
  </si>
  <si>
    <t>Мукачівський р-н</t>
  </si>
  <si>
    <t>Перечинський р-н</t>
  </si>
  <si>
    <t>Рахівський р-н</t>
  </si>
  <si>
    <t>Свалявський р-н</t>
  </si>
  <si>
    <t>Тячівський р-н</t>
  </si>
  <si>
    <t>Ужгородський р-н</t>
  </si>
  <si>
    <t>Хустський р-н</t>
  </si>
  <si>
    <t>м. Запоріжжя</t>
  </si>
  <si>
    <t>м. Бердянськ</t>
  </si>
  <si>
    <t>м. Енергодар</t>
  </si>
  <si>
    <t>м. Мелітополь</t>
  </si>
  <si>
    <t>м. Токмак</t>
  </si>
  <si>
    <t>Бердянський р-н</t>
  </si>
  <si>
    <t>Василівський р-н</t>
  </si>
  <si>
    <t>Великобілозерський р-н</t>
  </si>
  <si>
    <t>Веселівський р-н</t>
  </si>
  <si>
    <t>Вільнянський р-н</t>
  </si>
  <si>
    <t>Гуляйпільський р-н</t>
  </si>
  <si>
    <t>Запорізький р-н</t>
  </si>
  <si>
    <t>Мелітопольський р-н</t>
  </si>
  <si>
    <t>Михайлівський р-н</t>
  </si>
  <si>
    <t>Новомиколаївський р-н</t>
  </si>
  <si>
    <t>Оріхівський р-н</t>
  </si>
  <si>
    <t>Пологівський р-н</t>
  </si>
  <si>
    <t>Приазовський р-н</t>
  </si>
  <si>
    <t>Приморський р-н</t>
  </si>
  <si>
    <t>Розівський р-н</t>
  </si>
  <si>
    <t>Токмацький р-н</t>
  </si>
  <si>
    <t>Чернігівський р-н</t>
  </si>
  <si>
    <t>Якимівський р-н</t>
  </si>
  <si>
    <t>Зведений бюджет Запорізької області</t>
  </si>
  <si>
    <t>м. Івано-Франківськ</t>
  </si>
  <si>
    <t>м. Болехів</t>
  </si>
  <si>
    <t>м. Калуш</t>
  </si>
  <si>
    <t>м. Коломия</t>
  </si>
  <si>
    <t>м. Яремче</t>
  </si>
  <si>
    <t>м. Бурштин</t>
  </si>
  <si>
    <t>Богородчанський р-н</t>
  </si>
  <si>
    <t>Верховинський р-н</t>
  </si>
  <si>
    <t>Галицький р-н</t>
  </si>
  <si>
    <t>Городенківський р-н</t>
  </si>
  <si>
    <t>Долинський р-н</t>
  </si>
  <si>
    <t>Калуський р-н</t>
  </si>
  <si>
    <t>Коломийський р-н</t>
  </si>
  <si>
    <t>Косівський р-н</t>
  </si>
  <si>
    <t>Надвірнянський р-н</t>
  </si>
  <si>
    <t>Рогатинський р-н</t>
  </si>
  <si>
    <t>Рожнятівський р-н</t>
  </si>
  <si>
    <t>Снятинський р-н</t>
  </si>
  <si>
    <t>Тисменицький р-н</t>
  </si>
  <si>
    <t>Тлумацький р-н</t>
  </si>
  <si>
    <t>Зведений бюджет Івано-Франківської області</t>
  </si>
  <si>
    <t>м. Березань</t>
  </si>
  <si>
    <t>м. Бiла Церква</t>
  </si>
  <si>
    <t>м. Бориспiль</t>
  </si>
  <si>
    <t>м. Бровари</t>
  </si>
  <si>
    <t>м. Буча</t>
  </si>
  <si>
    <t>м. Василькiв</t>
  </si>
  <si>
    <t>м. Iрпiнь</t>
  </si>
  <si>
    <t>м. Переяслав-Хмельницький</t>
  </si>
  <si>
    <t>м. Ржищев</t>
  </si>
  <si>
    <t>м. Славутич</t>
  </si>
  <si>
    <t>м. Фастiв</t>
  </si>
  <si>
    <t>м. Обухів</t>
  </si>
  <si>
    <t>Баришiвський р-н</t>
  </si>
  <si>
    <t>Бiлоцеркiвський р-н</t>
  </si>
  <si>
    <t>Богуславський р-н</t>
  </si>
  <si>
    <t>Бориспiльський  р-н</t>
  </si>
  <si>
    <t>Бородянський р-н</t>
  </si>
  <si>
    <t>Броварський р-н</t>
  </si>
  <si>
    <t>Василькiвський р-н</t>
  </si>
  <si>
    <t>Вишгородський р-н</t>
  </si>
  <si>
    <t>Володарський р-н</t>
  </si>
  <si>
    <t>Згурiвський р-н</t>
  </si>
  <si>
    <t>Iванкiвський р-н</t>
  </si>
  <si>
    <t>Кагарлицький р-н</t>
  </si>
  <si>
    <t>Києво-Святошинський р-н</t>
  </si>
  <si>
    <t>Макарiвський р-н</t>
  </si>
  <si>
    <t>Миронiвський р-н</t>
  </si>
  <si>
    <t>Обухiвський р-н</t>
  </si>
  <si>
    <t>Переяслав-Хмельницький р-н</t>
  </si>
  <si>
    <t>Полiський р-н</t>
  </si>
  <si>
    <t>Рокитнянський р-н</t>
  </si>
  <si>
    <t>Сквирський р-н</t>
  </si>
  <si>
    <t>Ставищенський р-н</t>
  </si>
  <si>
    <t>Таращанський р-н</t>
  </si>
  <si>
    <t>Тетiївський р-н</t>
  </si>
  <si>
    <t>Фастiвський р-н</t>
  </si>
  <si>
    <t>Яготинський р-н</t>
  </si>
  <si>
    <t>Зведений бюджет Київської області</t>
  </si>
  <si>
    <t>м. Знам'янка</t>
  </si>
  <si>
    <t>м. Олександрія</t>
  </si>
  <si>
    <t>м. Світловодськ</t>
  </si>
  <si>
    <t>Бобринецький р-н</t>
  </si>
  <si>
    <t>Вільшанський р-н</t>
  </si>
  <si>
    <t>Гайворонський р-н</t>
  </si>
  <si>
    <t>Голованівський р-н</t>
  </si>
  <si>
    <t>Добровеличківський р-н</t>
  </si>
  <si>
    <t>Знам'янський р-н</t>
  </si>
  <si>
    <t>Кіровоградський р-н</t>
  </si>
  <si>
    <t>Компаніївський р-н</t>
  </si>
  <si>
    <t>Маловисківський р-н</t>
  </si>
  <si>
    <t>Новгородківський р-н</t>
  </si>
  <si>
    <t>Новоархангельський р-н</t>
  </si>
  <si>
    <t>Новомиргородський р-н</t>
  </si>
  <si>
    <t>Новоукраїнський р-н</t>
  </si>
  <si>
    <t>Олександрійський р-н</t>
  </si>
  <si>
    <t>Онуфріївський р-н</t>
  </si>
  <si>
    <t>Петрівський  р-н</t>
  </si>
  <si>
    <t>Світловодський р-н</t>
  </si>
  <si>
    <t>Устинівський р-н</t>
  </si>
  <si>
    <t>Зведений бюджет Кіровоградської області</t>
  </si>
  <si>
    <t>м. Луганськ</t>
  </si>
  <si>
    <t>м. Алчевськ</t>
  </si>
  <si>
    <t>м. Антрацит</t>
  </si>
  <si>
    <t>м. Брянка</t>
  </si>
  <si>
    <t>м. Лисичанськ</t>
  </si>
  <si>
    <t>м. Первомайськ</t>
  </si>
  <si>
    <t>м. Ровеньки</t>
  </si>
  <si>
    <t>м. Рубіжне</t>
  </si>
  <si>
    <t>м. Сєверодонецьк</t>
  </si>
  <si>
    <t>Разом по бюджетах  міст</t>
  </si>
  <si>
    <t>Антрацитівський р-н</t>
  </si>
  <si>
    <t>Біловодський р-н</t>
  </si>
  <si>
    <t>Білокуракинський р-н</t>
  </si>
  <si>
    <t>Кремінський р-н</t>
  </si>
  <si>
    <t>Лутугинський р-н</t>
  </si>
  <si>
    <t>Марківський р-н</t>
  </si>
  <si>
    <t>Міловський р-н</t>
  </si>
  <si>
    <t>Новоайдарський р-н</t>
  </si>
  <si>
    <t>Новопсковський р-н</t>
  </si>
  <si>
    <t>Перевальський р-н</t>
  </si>
  <si>
    <t>Попаснянський р-н</t>
  </si>
  <si>
    <t>Сватівський р-н</t>
  </si>
  <si>
    <t>Слов'яносербський р-н</t>
  </si>
  <si>
    <t>Станично-Луганський р-н</t>
  </si>
  <si>
    <t>Старобільський р-н</t>
  </si>
  <si>
    <t>Троїцький р-н</t>
  </si>
  <si>
    <t>Зведений бюджет Луганської області</t>
  </si>
  <si>
    <t>м. Львів</t>
  </si>
  <si>
    <t>м. Борислав</t>
  </si>
  <si>
    <t>м. Дрогобич</t>
  </si>
  <si>
    <t>м. Моршин</t>
  </si>
  <si>
    <t>м. Новий Розділ</t>
  </si>
  <si>
    <t>м. Самбір</t>
  </si>
  <si>
    <t>м. Стрий</t>
  </si>
  <si>
    <t>м. Трускавець</t>
  </si>
  <si>
    <t>м. Червоноград</t>
  </si>
  <si>
    <t>Бродівський  р-н</t>
  </si>
  <si>
    <t>Буський  р-н</t>
  </si>
  <si>
    <t>Городоцький р-н</t>
  </si>
  <si>
    <t>Дрогобицький р-н</t>
  </si>
  <si>
    <t>Жидачівський р-н</t>
  </si>
  <si>
    <t>Жовківський р-н</t>
  </si>
  <si>
    <t>Золочівський р-н</t>
  </si>
  <si>
    <t>Кам'янка-Бузький р-н</t>
  </si>
  <si>
    <t>Миколаївський р-н</t>
  </si>
  <si>
    <t>Мостиський р-н</t>
  </si>
  <si>
    <t>Перемишлянський р-н</t>
  </si>
  <si>
    <t>Пустомитівський р-н</t>
  </si>
  <si>
    <t>Радехівський р-н</t>
  </si>
  <si>
    <t>Самбірський р-н</t>
  </si>
  <si>
    <t>Сколівський р-н</t>
  </si>
  <si>
    <t>Сокальський р-н</t>
  </si>
  <si>
    <t>Старосамбірський р-н</t>
  </si>
  <si>
    <t>Стрийський р-н</t>
  </si>
  <si>
    <t>Турківський р-н</t>
  </si>
  <si>
    <t>Яворівський р-н</t>
  </si>
  <si>
    <t>Зведений бюджет Львівської  області</t>
  </si>
  <si>
    <t>Арбузинський р-н</t>
  </si>
  <si>
    <t>Баштанський р-н</t>
  </si>
  <si>
    <t>Березанський р-н</t>
  </si>
  <si>
    <t>Березнегуватський р-н</t>
  </si>
  <si>
    <t>Братський р-н</t>
  </si>
  <si>
    <t>Веселинівський р-н</t>
  </si>
  <si>
    <t>Вознесенський р-н</t>
  </si>
  <si>
    <t>Врадіївський р-н</t>
  </si>
  <si>
    <t>Доманівський р-н</t>
  </si>
  <si>
    <t>Єланецький р-г</t>
  </si>
  <si>
    <t>Казанківський р-н</t>
  </si>
  <si>
    <t>Кривоозерський р-н</t>
  </si>
  <si>
    <t>Новобузький р-н</t>
  </si>
  <si>
    <t>Новоодеський р-н</t>
  </si>
  <si>
    <t>Очаківський р-н</t>
  </si>
  <si>
    <t>Первомайський р-н</t>
  </si>
  <si>
    <t>Снігурівський р-н</t>
  </si>
  <si>
    <t>м. Одеса</t>
  </si>
  <si>
    <t>м. Білгород-Дністровський</t>
  </si>
  <si>
    <t>м. Ізмаїл</t>
  </si>
  <si>
    <t>м. Теплодар</t>
  </si>
  <si>
    <t>м. Южне</t>
  </si>
  <si>
    <t>Ананьївський р-н</t>
  </si>
  <si>
    <t>Арцизський р-н</t>
  </si>
  <si>
    <t>Балтський р-н</t>
  </si>
  <si>
    <t>Березівський р-н</t>
  </si>
  <si>
    <t>Білгород-Дністровський р-н</t>
  </si>
  <si>
    <t>Біляївський р-н</t>
  </si>
  <si>
    <t>Великомихайлівський р-н</t>
  </si>
  <si>
    <t>Іванівський р-н</t>
  </si>
  <si>
    <t>Ізмаїльський р-н</t>
  </si>
  <si>
    <t>Кілійський р-н</t>
  </si>
  <si>
    <t>Кодимський р-н</t>
  </si>
  <si>
    <t>Любашівський р-н</t>
  </si>
  <si>
    <t>Овідіопольський р-н</t>
  </si>
  <si>
    <t>Ренійський р-н</t>
  </si>
  <si>
    <t>Роздільнянський р-н</t>
  </si>
  <si>
    <t>Савранський р-н</t>
  </si>
  <si>
    <t>Саратський р-н</t>
  </si>
  <si>
    <t>Тарутинський р-н</t>
  </si>
  <si>
    <t>Татарбунарський р-н</t>
  </si>
  <si>
    <t>Ширяївський р-н</t>
  </si>
  <si>
    <t>Зведений бюджет Одеської області</t>
  </si>
  <si>
    <t>м. Полтава</t>
  </si>
  <si>
    <t>м. Кременчук</t>
  </si>
  <si>
    <t>м. Лубни</t>
  </si>
  <si>
    <t>м. Миргород</t>
  </si>
  <si>
    <t>Великобагачанський р-н</t>
  </si>
  <si>
    <t>Гадяцький р-н</t>
  </si>
  <si>
    <t>Глобинський р-н</t>
  </si>
  <si>
    <t>Гребінківський р-н</t>
  </si>
  <si>
    <t>Диканський р-н</t>
  </si>
  <si>
    <t>Зінківський р-н</t>
  </si>
  <si>
    <t>Карлівський  р-н</t>
  </si>
  <si>
    <t>Кобеляцький р-н</t>
  </si>
  <si>
    <t>Козельщинський р-н</t>
  </si>
  <si>
    <t>Котелевський р-н</t>
  </si>
  <si>
    <t>Кременчуцький р-н</t>
  </si>
  <si>
    <t>Лохвицький р-н</t>
  </si>
  <si>
    <t>Лубенський р-н</t>
  </si>
  <si>
    <t>Машівський р-н</t>
  </si>
  <si>
    <t>Миргородський р-н</t>
  </si>
  <si>
    <t>Новосанжарський р-н</t>
  </si>
  <si>
    <t>Оржицький р-н</t>
  </si>
  <si>
    <t>Пирятинський р-н</t>
  </si>
  <si>
    <t>Полтавський р-н</t>
  </si>
  <si>
    <t>Решетилівський р-н</t>
  </si>
  <si>
    <t>Семенівський р-н</t>
  </si>
  <si>
    <t>Хорольський р-н</t>
  </si>
  <si>
    <t>Чорнухинськийр-н</t>
  </si>
  <si>
    <t>Чутівський р-н</t>
  </si>
  <si>
    <t>Шишацький р-н</t>
  </si>
  <si>
    <t>Зведений бюджет Полтавської області</t>
  </si>
  <si>
    <t>м. Рiвне</t>
  </si>
  <si>
    <t>м. Дубно</t>
  </si>
  <si>
    <t>м. Острог</t>
  </si>
  <si>
    <t>Березнiвський р-н</t>
  </si>
  <si>
    <t>Володимирецький р-н</t>
  </si>
  <si>
    <t>Гощанський р-н</t>
  </si>
  <si>
    <t>Демидiвський р-н</t>
  </si>
  <si>
    <t>Дубенський р-н</t>
  </si>
  <si>
    <t>Дубровицький р-н</t>
  </si>
  <si>
    <t>Зарiчненський р-н</t>
  </si>
  <si>
    <t>Здолбунiвський р-н</t>
  </si>
  <si>
    <t>Корецький р-н</t>
  </si>
  <si>
    <t>Костопiльський р-н</t>
  </si>
  <si>
    <t>Млинiвський р-н</t>
  </si>
  <si>
    <t>Острозький р-н</t>
  </si>
  <si>
    <t>Радивилiвський р-н</t>
  </si>
  <si>
    <t>Рiвненський р-н</t>
  </si>
  <si>
    <t>Рокитнiвський р-н</t>
  </si>
  <si>
    <t>Сарненський р-н</t>
  </si>
  <si>
    <t>Зведений бюджет Рівненської області</t>
  </si>
  <si>
    <t>м.Суми</t>
  </si>
  <si>
    <t>м.Глухів</t>
  </si>
  <si>
    <t>м.Конотоп</t>
  </si>
  <si>
    <t>м.Лебедин</t>
  </si>
  <si>
    <t>м.Охтирка</t>
  </si>
  <si>
    <t>м.Ромни</t>
  </si>
  <si>
    <t>м.Шостка</t>
  </si>
  <si>
    <t>Бiлопiльський р-н</t>
  </si>
  <si>
    <t>Буринський р-н</t>
  </si>
  <si>
    <t>Великописарівський р-н</t>
  </si>
  <si>
    <t>Глухiвський р-н</t>
  </si>
  <si>
    <t>Конотопський р-н</t>
  </si>
  <si>
    <t>Краснопільський р-н</t>
  </si>
  <si>
    <t>Кролевецький р-н</t>
  </si>
  <si>
    <t>Лебединський р-н</t>
  </si>
  <si>
    <t>Липоводолинський р-н</t>
  </si>
  <si>
    <t>Недригайлівський р-н</t>
  </si>
  <si>
    <t>Охтирський р-н</t>
  </si>
  <si>
    <t>Путивльський р-н</t>
  </si>
  <si>
    <t>Роменський р-н</t>
  </si>
  <si>
    <t>Середино-Будський р-н</t>
  </si>
  <si>
    <t>Сумський р-н</t>
  </si>
  <si>
    <t>Шосткинський р-н</t>
  </si>
  <si>
    <t>Разом по  бюджетах районів</t>
  </si>
  <si>
    <t>Зведений бюджет Сумської області</t>
  </si>
  <si>
    <t>м. Тернопіль</t>
  </si>
  <si>
    <t>м. Чортків</t>
  </si>
  <si>
    <t>Бережанський р-н</t>
  </si>
  <si>
    <t>Борщівський р-н</t>
  </si>
  <si>
    <t>Бучацький р-н</t>
  </si>
  <si>
    <t>Гусятинський р-н</t>
  </si>
  <si>
    <t>Заліщицький р-н</t>
  </si>
  <si>
    <t>Збаразький р-н</t>
  </si>
  <si>
    <t>Зборівський р-н</t>
  </si>
  <si>
    <t>Козівський р-н</t>
  </si>
  <si>
    <t>Кременецький р-н</t>
  </si>
  <si>
    <t>Лановецький р-н</t>
  </si>
  <si>
    <t>Монастириський р-н</t>
  </si>
  <si>
    <t>Підволочиський р-н</t>
  </si>
  <si>
    <t>Підгаєцький р-н</t>
  </si>
  <si>
    <t>Теребовлянський р-н</t>
  </si>
  <si>
    <t>Тернопільський р-н</t>
  </si>
  <si>
    <t>Чортківський р-н</t>
  </si>
  <si>
    <t>Шумський р-н</t>
  </si>
  <si>
    <t>Зведений бюджет Тернопільської області</t>
  </si>
  <si>
    <t>м. Харків</t>
  </si>
  <si>
    <t>м. Ізюм</t>
  </si>
  <si>
    <t>м. Куп'янськ</t>
  </si>
  <si>
    <t>м. Лозова</t>
  </si>
  <si>
    <t>м. Люботин</t>
  </si>
  <si>
    <t>м. Первомайський</t>
  </si>
  <si>
    <t>м. Чугуїв</t>
  </si>
  <si>
    <t>Балаклійський р-н</t>
  </si>
  <si>
    <t>Барвінківський р-н</t>
  </si>
  <si>
    <t>Близнюківський р-н</t>
  </si>
  <si>
    <t>Богодухівський р-н</t>
  </si>
  <si>
    <t>Борівський р-н</t>
  </si>
  <si>
    <t>Валківський р-н</t>
  </si>
  <si>
    <t>Великобурлуцький р-н</t>
  </si>
  <si>
    <t>Вовчанський р-н</t>
  </si>
  <si>
    <t>Дворічанський р-н</t>
  </si>
  <si>
    <t>Дергачівський р-н</t>
  </si>
  <si>
    <t>Зачепилівський р-н</t>
  </si>
  <si>
    <t>Зміївський р-н</t>
  </si>
  <si>
    <t>Ізюмський р-н</t>
  </si>
  <si>
    <t>Кегичівський р-н</t>
  </si>
  <si>
    <t>Коломацький р-н</t>
  </si>
  <si>
    <t>Красноградський р-н</t>
  </si>
  <si>
    <t>Краснокутський р-н</t>
  </si>
  <si>
    <t>Куп'янський р-н</t>
  </si>
  <si>
    <t>Лозівський р-н</t>
  </si>
  <si>
    <t>Нововодолазький р-н</t>
  </si>
  <si>
    <t>Печенізький р-н</t>
  </si>
  <si>
    <t>Сахновщинський р-н</t>
  </si>
  <si>
    <t>Харківський р-н</t>
  </si>
  <si>
    <t>Чугуївський р-н</t>
  </si>
  <si>
    <t>Шевченківський р-н</t>
  </si>
  <si>
    <t>Зведений бюджет Харківської області</t>
  </si>
  <si>
    <t>м. Херсон</t>
  </si>
  <si>
    <t>м. Каховка</t>
  </si>
  <si>
    <t>м. Нова Каховка</t>
  </si>
  <si>
    <t>м. Гола Пристань</t>
  </si>
  <si>
    <t>Бериславський р-н</t>
  </si>
  <si>
    <t>Білозерський р-н</t>
  </si>
  <si>
    <t>Великолепетиський р-н</t>
  </si>
  <si>
    <t>Великоолександрівський р-н</t>
  </si>
  <si>
    <t>Верхньорогачицький р-н</t>
  </si>
  <si>
    <t>Високопільський р-н</t>
  </si>
  <si>
    <t>Генічеський р-н</t>
  </si>
  <si>
    <t>Голопристанський р-н</t>
  </si>
  <si>
    <t>Горностаївський р-н</t>
  </si>
  <si>
    <t>Каланчацький р-н</t>
  </si>
  <si>
    <t>Каховський р-н</t>
  </si>
  <si>
    <t>Нижньосірогозький р-н</t>
  </si>
  <si>
    <t>Нововоронцовський р-н</t>
  </si>
  <si>
    <t>Новотроїцький р-н</t>
  </si>
  <si>
    <t>Скадовський р-н</t>
  </si>
  <si>
    <t>Чаплинський р-н</t>
  </si>
  <si>
    <t>Разом по бюджетах  районів</t>
  </si>
  <si>
    <t>Зведений бюджет Херсонської області</t>
  </si>
  <si>
    <t>м. Хмельницький</t>
  </si>
  <si>
    <t>м. Кам"янець-Подiльський</t>
  </si>
  <si>
    <t>м. Нетiшин</t>
  </si>
  <si>
    <t>м. Славута</t>
  </si>
  <si>
    <t>м. Старокостянтинів</t>
  </si>
  <si>
    <t>м. Шепетiвка</t>
  </si>
  <si>
    <t>Бiлогiрський  р-н</t>
  </si>
  <si>
    <t>Вiньковецький  р-н</t>
  </si>
  <si>
    <t>Волочиський р-н</t>
  </si>
  <si>
    <t>Деражнянський  р-н</t>
  </si>
  <si>
    <t>Дунаєвецький  р-н</t>
  </si>
  <si>
    <t>Iзяславський р-н</t>
  </si>
  <si>
    <t>Кам"янець-Подiльський  р-н</t>
  </si>
  <si>
    <t>Красилiвський  р-н</t>
  </si>
  <si>
    <t>Летичiвський р-н</t>
  </si>
  <si>
    <t>Новоушицький  р-н</t>
  </si>
  <si>
    <t>Полонський  р-н</t>
  </si>
  <si>
    <t>Славутський р-н</t>
  </si>
  <si>
    <t>Старокостянтинiвський р-н</t>
  </si>
  <si>
    <t>Старосинявський р-н</t>
  </si>
  <si>
    <t>Теофiпольський р-н</t>
  </si>
  <si>
    <t>Хмельницький р-н</t>
  </si>
  <si>
    <t>Чемеровецький р-н</t>
  </si>
  <si>
    <t>Шепетiвський р-н</t>
  </si>
  <si>
    <t>Ярмолинецький р-н</t>
  </si>
  <si>
    <t>Зведений бюджет Хмельницької області</t>
  </si>
  <si>
    <t>м. Черкаси</t>
  </si>
  <si>
    <t>м. Ватутiне</t>
  </si>
  <si>
    <t>м. Золотоноша</t>
  </si>
  <si>
    <t>м. Канiв</t>
  </si>
  <si>
    <t>м. Смiла</t>
  </si>
  <si>
    <t>м. Умань</t>
  </si>
  <si>
    <t>Городищенський р-н</t>
  </si>
  <si>
    <t>Драбiвський р-н</t>
  </si>
  <si>
    <t>Жашкiвський р-н</t>
  </si>
  <si>
    <t>Звенигородський р-н</t>
  </si>
  <si>
    <t>Золотонiський р-н</t>
  </si>
  <si>
    <t>Кам'янський р-н</t>
  </si>
  <si>
    <t>Канiвський р-н</t>
  </si>
  <si>
    <t>Катеринопiльський р-н</t>
  </si>
  <si>
    <t>Корсунь-Шевченкiвський р-н</t>
  </si>
  <si>
    <t>Лисянський р-н</t>
  </si>
  <si>
    <t>Манькiвський р-н</t>
  </si>
  <si>
    <t>Монастерищенський р-н</t>
  </si>
  <si>
    <t>Смiлянський р-н</t>
  </si>
  <si>
    <t>Тальнiвський р-н</t>
  </si>
  <si>
    <t>Уманський р-н</t>
  </si>
  <si>
    <t>Христинiвський р-н</t>
  </si>
  <si>
    <t>Черкаський р-н</t>
  </si>
  <si>
    <t>Чигиринський р-н</t>
  </si>
  <si>
    <t>Чорнобаївський р-н</t>
  </si>
  <si>
    <t>Шполянський р-н</t>
  </si>
  <si>
    <t>Зведений бюджет Черкаської області</t>
  </si>
  <si>
    <t>м. Чернівці</t>
  </si>
  <si>
    <t>м. Новодністровськ</t>
  </si>
  <si>
    <t xml:space="preserve">Разом побюджетах  міст </t>
  </si>
  <si>
    <t>Вижницький р-н</t>
  </si>
  <si>
    <t>Герцаївський р-н</t>
  </si>
  <si>
    <t>Глибоцький р-н</t>
  </si>
  <si>
    <t>Заставнівський  р-н</t>
  </si>
  <si>
    <t>Кельменецький р-н</t>
  </si>
  <si>
    <t>Кіцманський р-н</t>
  </si>
  <si>
    <t>Новоселицький р-н</t>
  </si>
  <si>
    <t>Путильський р-н</t>
  </si>
  <si>
    <t>Сокирянський р-н</t>
  </si>
  <si>
    <t>Сторожинецький р-н</t>
  </si>
  <si>
    <t>Хотинський р-н</t>
  </si>
  <si>
    <t>Зведений бюджет Чернівецької області</t>
  </si>
  <si>
    <t>м. Чернігів</t>
  </si>
  <si>
    <t>м. Ніжин</t>
  </si>
  <si>
    <t>м. Прилуки</t>
  </si>
  <si>
    <t>м. Новгород-Сіверський</t>
  </si>
  <si>
    <t>Бахмацький р-н</t>
  </si>
  <si>
    <t>Бобровицький р-н</t>
  </si>
  <si>
    <t>Борзнянський р-н</t>
  </si>
  <si>
    <t>Варвинський р-н</t>
  </si>
  <si>
    <t>Городнянський р-н</t>
  </si>
  <si>
    <t>Ічнянський р-н</t>
  </si>
  <si>
    <t>Козелецький  р-н</t>
  </si>
  <si>
    <t>Коропський р-н</t>
  </si>
  <si>
    <t>Корюківський р-н</t>
  </si>
  <si>
    <t>Куликівський р-н</t>
  </si>
  <si>
    <t>Менський р-н</t>
  </si>
  <si>
    <t>Ніжинський р-н</t>
  </si>
  <si>
    <t>Новгород-Сіверський р-н</t>
  </si>
  <si>
    <t>Носівський р-н</t>
  </si>
  <si>
    <t>Прилуцький р-н</t>
  </si>
  <si>
    <t>Ріпкинський р-н</t>
  </si>
  <si>
    <t>Сосницький р-н</t>
  </si>
  <si>
    <t>Срібнянський р-н</t>
  </si>
  <si>
    <t>Талалаївський р-н</t>
  </si>
  <si>
    <t>Зведений бюджет Чернігівської області</t>
  </si>
  <si>
    <t>м. Бережани</t>
  </si>
  <si>
    <t>м. Кременець</t>
  </si>
  <si>
    <t>м. Гадяч</t>
  </si>
  <si>
    <t>O2</t>
  </si>
  <si>
    <t>vg</t>
  </si>
  <si>
    <t>g</t>
  </si>
  <si>
    <t>Болградський р-н</t>
  </si>
  <si>
    <t>Не підконтрольні</t>
  </si>
  <si>
    <t>Разом по бюджетах об'єднаних громад</t>
  </si>
  <si>
    <t>отг Народицька (Народицький район)</t>
  </si>
  <si>
    <t>отг Потіївська (Радомишльський район)</t>
  </si>
  <si>
    <t>отг Червоненська (Андрушівський район)</t>
  </si>
  <si>
    <t>Зведений бюджет Закарпатської  області</t>
  </si>
  <si>
    <t>отг Берестівська (Бердянський район)</t>
  </si>
  <si>
    <t>отг Веселівська (Веселівський район)</t>
  </si>
  <si>
    <t>отг Преображенська (Оріхівський район)</t>
  </si>
  <si>
    <t>отг Верхнянська (Калуський район)</t>
  </si>
  <si>
    <t>отг Печеніжинська (Коломийський район)</t>
  </si>
  <si>
    <t>отг Старобогородчанська (Богородчанський район)</t>
  </si>
  <si>
    <t>отг Бобринецька (Бобринецький район)</t>
  </si>
  <si>
    <t>отг Бабинська (Самбірський район)</t>
  </si>
  <si>
    <t>отг Бісковицька (Самбірський район)</t>
  </si>
  <si>
    <t>отг Воле-Баранецька (Самбірський район)</t>
  </si>
  <si>
    <t>отг Гніздичівська (Жидачівський район)</t>
  </si>
  <si>
    <t>отг Дублянська (Самбірський район)</t>
  </si>
  <si>
    <t>отг Заболотцівська (Бродівський район)</t>
  </si>
  <si>
    <t>отг Новокалинівська (Самбірський район)</t>
  </si>
  <si>
    <t>отг Новострілищанська (Жидачівський район)</t>
  </si>
  <si>
    <t>отг Тростянецька (Миколаївський район)</t>
  </si>
  <si>
    <t>отг Чукв'янська (Самбірський район)</t>
  </si>
  <si>
    <t>отг Балтська (Балтський район)</t>
  </si>
  <si>
    <t>отг Біляївська (Біляївський район)</t>
  </si>
  <si>
    <t>отг Великомихайлівська (Великомихайлівський район)</t>
  </si>
  <si>
    <t>отг Розквітівська (Березівський район)</t>
  </si>
  <si>
    <t>отг Білоцерківська  (Великобагачанський район)</t>
  </si>
  <si>
    <t>отг Глобинська  (Глобинський район)</t>
  </si>
  <si>
    <t>отг Клепачівська  (Хорольський район)</t>
  </si>
  <si>
    <t>отг Недогарківська  (Кременчуцький район)</t>
  </si>
  <si>
    <t>отг Омельницька  (Кременчуцький район)</t>
  </si>
  <si>
    <t>отг Пирятинська  (Пирятинський район)</t>
  </si>
  <si>
    <t>отг Піщанська  (Кременчуцький район)</t>
  </si>
  <si>
    <t>отг Покровобагачанська  (Хорольський район)</t>
  </si>
  <si>
    <t>отг Пришибська  (Кременчуцький район)</t>
  </si>
  <si>
    <t>отг Семенівська  (Семенівський район)</t>
  </si>
  <si>
    <t>отг Бабинська  (Гощанський район)</t>
  </si>
  <si>
    <t>отг Бугринська  (Гощанський район)</t>
  </si>
  <si>
    <t>отг Клесівська  (Сарненський район)</t>
  </si>
  <si>
    <t>отг Миляцька  (Дубровицький район)</t>
  </si>
  <si>
    <t>отг Підлозцівська  (Млинівський район)</t>
  </si>
  <si>
    <t>отг Березівська  (Глухівський район)</t>
  </si>
  <si>
    <t>отг Кочубеївська  (Високопільський район)</t>
  </si>
  <si>
    <t>отг Берездівська  (Славутський район)</t>
  </si>
  <si>
    <t>отг Волочиська  (Волочиський район)</t>
  </si>
  <si>
    <t>отг Гуменецька  (Кам"янець-Подільський район)</t>
  </si>
  <si>
    <t>отг Летичівська  (Летичівський район)</t>
  </si>
  <si>
    <t>отг Лісовогринівецька  (Хмельницький район)</t>
  </si>
  <si>
    <t>отг Маківська  (Дунаєвецький район)</t>
  </si>
  <si>
    <t>отг Меджибізька  (Летичівський район)</t>
  </si>
  <si>
    <t>отг Наркевицька  (Волочиський район)</t>
  </si>
  <si>
    <t>отг Полонська  (Полонський район)</t>
  </si>
  <si>
    <t>отг Понінківська  (Полонський район)</t>
  </si>
  <si>
    <t>отг Старосинявська  (Старосинявський район)</t>
  </si>
  <si>
    <t>отг Чорноострівська  (Хмельницький район)</t>
  </si>
  <si>
    <t>отг Білозірська  (Черкаський район)</t>
  </si>
  <si>
    <t>отг Єрківська  (Катеринопільський район)</t>
  </si>
  <si>
    <t>отг Мокрокалигірська  (Катеринопільський район)</t>
  </si>
  <si>
    <t>отг Великокучурівська  (Сторожинецький район)</t>
  </si>
  <si>
    <t>отг Рукшинська  (Хотинський район)</t>
  </si>
  <si>
    <t>отг Макіївська  (Носівський район)</t>
  </si>
  <si>
    <t>Зведений бюджет  міста Києва</t>
  </si>
  <si>
    <t>02100000000</t>
  </si>
  <si>
    <t>О2</t>
  </si>
  <si>
    <t>О1</t>
  </si>
  <si>
    <t>02201100000</t>
  </si>
  <si>
    <t>02202100000</t>
  </si>
  <si>
    <t>02203100000</t>
  </si>
  <si>
    <t>02204100000</t>
  </si>
  <si>
    <t>02205100000</t>
  </si>
  <si>
    <t>02206100000</t>
  </si>
  <si>
    <t>О5</t>
  </si>
  <si>
    <t>02301200000</t>
  </si>
  <si>
    <t>О6</t>
  </si>
  <si>
    <t>02302200000</t>
  </si>
  <si>
    <t>О7</t>
  </si>
  <si>
    <t>02303200000</t>
  </si>
  <si>
    <t>О8</t>
  </si>
  <si>
    <t>02304200000</t>
  </si>
  <si>
    <t>О9</t>
  </si>
  <si>
    <t>02305200000</t>
  </si>
  <si>
    <t>02306200000</t>
  </si>
  <si>
    <t>02307200000</t>
  </si>
  <si>
    <t>02308200000</t>
  </si>
  <si>
    <t>02309200000</t>
  </si>
  <si>
    <t>02310200000</t>
  </si>
  <si>
    <t>02311200000</t>
  </si>
  <si>
    <t>02312200000</t>
  </si>
  <si>
    <t>02313200000</t>
  </si>
  <si>
    <t>02314200000</t>
  </si>
  <si>
    <t>02315200000</t>
  </si>
  <si>
    <t>02316200000</t>
  </si>
  <si>
    <t>02317200000</t>
  </si>
  <si>
    <t>02318200000</t>
  </si>
  <si>
    <t>02319200000</t>
  </si>
  <si>
    <t>02320200000</t>
  </si>
  <si>
    <t>02321200000</t>
  </si>
  <si>
    <t>02322200000</t>
  </si>
  <si>
    <t>02323200000</t>
  </si>
  <si>
    <t>02324200000</t>
  </si>
  <si>
    <t>02325200000</t>
  </si>
  <si>
    <t>02326200000</t>
  </si>
  <si>
    <t>02327200000</t>
  </si>
  <si>
    <t>О3</t>
  </si>
  <si>
    <t>03100000000</t>
  </si>
  <si>
    <t>03201100000</t>
  </si>
  <si>
    <t>03202100000</t>
  </si>
  <si>
    <t>03203100000</t>
  </si>
  <si>
    <t>О4</t>
  </si>
  <si>
    <t>03204100000</t>
  </si>
  <si>
    <t>03301200000</t>
  </si>
  <si>
    <t>03302200000</t>
  </si>
  <si>
    <t>03303200000</t>
  </si>
  <si>
    <t>03304200000</t>
  </si>
  <si>
    <t>03305200000</t>
  </si>
  <si>
    <t>03306200000</t>
  </si>
  <si>
    <t>03307200000</t>
  </si>
  <si>
    <t>03308200000</t>
  </si>
  <si>
    <t>03309200000</t>
  </si>
  <si>
    <t>03310200000</t>
  </si>
  <si>
    <t>03311200000</t>
  </si>
  <si>
    <t>03312200000</t>
  </si>
  <si>
    <t>03313200000</t>
  </si>
  <si>
    <t>03314200000</t>
  </si>
  <si>
    <t>03315200000</t>
  </si>
  <si>
    <t>03316200000</t>
  </si>
  <si>
    <t>03501000000</t>
  </si>
  <si>
    <t>отг. Велицька (Ковельський район)</t>
  </si>
  <si>
    <t>03502000000</t>
  </si>
  <si>
    <t>отг. Голобська (Ковельський район)</t>
  </si>
  <si>
    <t>03503000000</t>
  </si>
  <si>
    <t>отг. Зимнівська (Володимир-Волинський район)</t>
  </si>
  <si>
    <t>03504000000</t>
  </si>
  <si>
    <t>отг. Смолигівська (Луцький район)</t>
  </si>
  <si>
    <t>03505000000</t>
  </si>
  <si>
    <t>отг. Устилузька (Володимир-Волинський район)</t>
  </si>
  <si>
    <t>04100000000</t>
  </si>
  <si>
    <t>04201100000</t>
  </si>
  <si>
    <t>04202100000</t>
  </si>
  <si>
    <t>04203100000</t>
  </si>
  <si>
    <t>04204100000</t>
  </si>
  <si>
    <t>04205100000</t>
  </si>
  <si>
    <t>04206100000</t>
  </si>
  <si>
    <t>04207100000</t>
  </si>
  <si>
    <t>04208100000</t>
  </si>
  <si>
    <t>04209100000</t>
  </si>
  <si>
    <t>04210100000</t>
  </si>
  <si>
    <t>04211100000</t>
  </si>
  <si>
    <t>04212100000</t>
  </si>
  <si>
    <t>04213100000</t>
  </si>
  <si>
    <t>04301200000</t>
  </si>
  <si>
    <t>04302200000</t>
  </si>
  <si>
    <t>04303200000</t>
  </si>
  <si>
    <t>04304200000</t>
  </si>
  <si>
    <t>04305200000</t>
  </si>
  <si>
    <t>04306200000</t>
  </si>
  <si>
    <t>04307200000</t>
  </si>
  <si>
    <t>04308200000</t>
  </si>
  <si>
    <t>04309200000</t>
  </si>
  <si>
    <t>04310200000</t>
  </si>
  <si>
    <t>04311200000</t>
  </si>
  <si>
    <t>04312200000</t>
  </si>
  <si>
    <t>04313200000</t>
  </si>
  <si>
    <t>04314200000</t>
  </si>
  <si>
    <t>04315200000</t>
  </si>
  <si>
    <t>04316200000</t>
  </si>
  <si>
    <t>04317200000</t>
  </si>
  <si>
    <t>04318200000</t>
  </si>
  <si>
    <t>04319200000</t>
  </si>
  <si>
    <t>04320200000</t>
  </si>
  <si>
    <t>04321200000</t>
  </si>
  <si>
    <t>04322200000</t>
  </si>
  <si>
    <t>04501000000</t>
  </si>
  <si>
    <t>отг. Апостолівська (Апостолівський район)</t>
  </si>
  <si>
    <t>04502000000</t>
  </si>
  <si>
    <t>отг. Богданівська (Павлоградський район)</t>
  </si>
  <si>
    <t>04503000000</t>
  </si>
  <si>
    <t>отг. Вербківська (Павлоградський район)</t>
  </si>
  <si>
    <t>04504000000</t>
  </si>
  <si>
    <t>04505000000</t>
  </si>
  <si>
    <t>04506000000</t>
  </si>
  <si>
    <t>отг. Зеленодольська (Апостолівський район)</t>
  </si>
  <si>
    <t>04507000000</t>
  </si>
  <si>
    <t>04508000000</t>
  </si>
  <si>
    <t>отг. Ляшківська (Царичанський район)</t>
  </si>
  <si>
    <t>04509000000</t>
  </si>
  <si>
    <t>отг. Нивотрудівська (Апостолівський район)</t>
  </si>
  <si>
    <t>04510000000</t>
  </si>
  <si>
    <t>04511000000</t>
  </si>
  <si>
    <t>отг. Новопокровська (Солонянський район)</t>
  </si>
  <si>
    <t>04512000000</t>
  </si>
  <si>
    <t>отг. Могилівська (Царичанський район)</t>
  </si>
  <si>
    <t>04513000000</t>
  </si>
  <si>
    <t>отг. Солонянська (Солонянський район)</t>
  </si>
  <si>
    <t>04514000000</t>
  </si>
  <si>
    <t>04515000000</t>
  </si>
  <si>
    <t>05100000000</t>
  </si>
  <si>
    <t>05201100000</t>
  </si>
  <si>
    <t>05202100000</t>
  </si>
  <si>
    <t>05203100000</t>
  </si>
  <si>
    <t>05204100000</t>
  </si>
  <si>
    <t>05205100000</t>
  </si>
  <si>
    <t>05206100000</t>
  </si>
  <si>
    <t>05207100000</t>
  </si>
  <si>
    <t>05208100000</t>
  </si>
  <si>
    <t>05209100000</t>
  </si>
  <si>
    <t>05210100000</t>
  </si>
  <si>
    <t>05211100000</t>
  </si>
  <si>
    <t>05212100000</t>
  </si>
  <si>
    <t>05213100000</t>
  </si>
  <si>
    <t>05214100000</t>
  </si>
  <si>
    <t>05215100000</t>
  </si>
  <si>
    <t>05216100000</t>
  </si>
  <si>
    <t>05217100000</t>
  </si>
  <si>
    <t>05218100000</t>
  </si>
  <si>
    <t>05219100000</t>
  </si>
  <si>
    <t>05220100000</t>
  </si>
  <si>
    <t>05221100000</t>
  </si>
  <si>
    <t>05222100000</t>
  </si>
  <si>
    <t>05223100000</t>
  </si>
  <si>
    <t>05224100000</t>
  </si>
  <si>
    <t>05225100000</t>
  </si>
  <si>
    <t>05226100000</t>
  </si>
  <si>
    <t>05227100000</t>
  </si>
  <si>
    <t>05228100000</t>
  </si>
  <si>
    <t>05301200000</t>
  </si>
  <si>
    <t>05302200000</t>
  </si>
  <si>
    <t>05303200000</t>
  </si>
  <si>
    <t>05304200000</t>
  </si>
  <si>
    <t>05305200000</t>
  </si>
  <si>
    <t>05306200000</t>
  </si>
  <si>
    <t>05307200000</t>
  </si>
  <si>
    <t>05308200000</t>
  </si>
  <si>
    <t>05309200000</t>
  </si>
  <si>
    <t>05310200000</t>
  </si>
  <si>
    <t>05311200000</t>
  </si>
  <si>
    <t>05312200000</t>
  </si>
  <si>
    <t>05313200000</t>
  </si>
  <si>
    <t>05314200000</t>
  </si>
  <si>
    <t>05315200000</t>
  </si>
  <si>
    <t>05316200000</t>
  </si>
  <si>
    <t>05317200000</t>
  </si>
  <si>
    <t>05501000000</t>
  </si>
  <si>
    <t>05502000000</t>
  </si>
  <si>
    <t>05503000000</t>
  </si>
  <si>
    <t>06100000000</t>
  </si>
  <si>
    <t>06201100000</t>
  </si>
  <si>
    <t>06202100000</t>
  </si>
  <si>
    <t>06203100000</t>
  </si>
  <si>
    <t>06204100000</t>
  </si>
  <si>
    <t>06205100000</t>
  </si>
  <si>
    <t>06301200000</t>
  </si>
  <si>
    <t>06302200000</t>
  </si>
  <si>
    <t>06303200000</t>
  </si>
  <si>
    <t>06304200000</t>
  </si>
  <si>
    <t>06305200000</t>
  </si>
  <si>
    <t>06306200000</t>
  </si>
  <si>
    <t>06307200000</t>
  </si>
  <si>
    <t>06308200000</t>
  </si>
  <si>
    <t>06309200000</t>
  </si>
  <si>
    <t>06310200000</t>
  </si>
  <si>
    <t>06311200000</t>
  </si>
  <si>
    <t>06312200000</t>
  </si>
  <si>
    <t>06313200000</t>
  </si>
  <si>
    <t>06314200000</t>
  </si>
  <si>
    <t>06315200000</t>
  </si>
  <si>
    <t>06316200000</t>
  </si>
  <si>
    <t>06317200000</t>
  </si>
  <si>
    <t>06318200000</t>
  </si>
  <si>
    <t>06319200000</t>
  </si>
  <si>
    <t>06320200000</t>
  </si>
  <si>
    <t>06321200000</t>
  </si>
  <si>
    <t>06322200000</t>
  </si>
  <si>
    <t>06323200000</t>
  </si>
  <si>
    <t>06501000000</t>
  </si>
  <si>
    <t>06502000000</t>
  </si>
  <si>
    <t>06503000000</t>
  </si>
  <si>
    <t>06504000000</t>
  </si>
  <si>
    <t>06505000000</t>
  </si>
  <si>
    <t>07100000000</t>
  </si>
  <si>
    <t>07201100000</t>
  </si>
  <si>
    <t>07202100000</t>
  </si>
  <si>
    <t>07203100000</t>
  </si>
  <si>
    <t>07204100000</t>
  </si>
  <si>
    <t>07205100000</t>
  </si>
  <si>
    <t>07301200000</t>
  </si>
  <si>
    <t>07302200000</t>
  </si>
  <si>
    <t>07303200000</t>
  </si>
  <si>
    <t>07304200000</t>
  </si>
  <si>
    <t>07305200000</t>
  </si>
  <si>
    <t>07306200000</t>
  </si>
  <si>
    <t>07307200000</t>
  </si>
  <si>
    <t>07308200000</t>
  </si>
  <si>
    <t>07309200000</t>
  </si>
  <si>
    <t>07310200000</t>
  </si>
  <si>
    <t>07311200000</t>
  </si>
  <si>
    <t>07312200000</t>
  </si>
  <si>
    <t>07313200000</t>
  </si>
  <si>
    <t>08100000000</t>
  </si>
  <si>
    <t>08201100000</t>
  </si>
  <si>
    <t>08202100000</t>
  </si>
  <si>
    <t>08203100000</t>
  </si>
  <si>
    <t>08204100000</t>
  </si>
  <si>
    <t>08205100000</t>
  </si>
  <si>
    <t>08301200000</t>
  </si>
  <si>
    <t>08302200000</t>
  </si>
  <si>
    <t>08303200000</t>
  </si>
  <si>
    <t>08304200000</t>
  </si>
  <si>
    <t>08305200000</t>
  </si>
  <si>
    <t>08306200000</t>
  </si>
  <si>
    <t>08307200000</t>
  </si>
  <si>
    <t>08308200000</t>
  </si>
  <si>
    <t>Кам'янсько-Дніпровський р-н</t>
  </si>
  <si>
    <t>08309200000</t>
  </si>
  <si>
    <t>08310200000</t>
  </si>
  <si>
    <t>08311200000</t>
  </si>
  <si>
    <t>08312200000</t>
  </si>
  <si>
    <t>08313200000</t>
  </si>
  <si>
    <t>08314200000</t>
  </si>
  <si>
    <t>08315200000</t>
  </si>
  <si>
    <t>08316200000</t>
  </si>
  <si>
    <t>08317200000</t>
  </si>
  <si>
    <t>08318200000</t>
  </si>
  <si>
    <t>08319200000</t>
  </si>
  <si>
    <t>08320200000</t>
  </si>
  <si>
    <t>08501000000</t>
  </si>
  <si>
    <t>08502000000</t>
  </si>
  <si>
    <t>08503000000</t>
  </si>
  <si>
    <t>08504000000</t>
  </si>
  <si>
    <t>08505000000</t>
  </si>
  <si>
    <t>09100000000</t>
  </si>
  <si>
    <t>09201100000</t>
  </si>
  <si>
    <t>09202100000</t>
  </si>
  <si>
    <t>09203100000</t>
  </si>
  <si>
    <t>09204100000</t>
  </si>
  <si>
    <t>09205100000</t>
  </si>
  <si>
    <t>09206100000</t>
  </si>
  <si>
    <t>09301200000</t>
  </si>
  <si>
    <t>09302200000</t>
  </si>
  <si>
    <t>09303200000</t>
  </si>
  <si>
    <t>09304200000</t>
  </si>
  <si>
    <t>09305200000</t>
  </si>
  <si>
    <t>09306200000</t>
  </si>
  <si>
    <t>09307200000</t>
  </si>
  <si>
    <t>09308200000</t>
  </si>
  <si>
    <t>09309200000</t>
  </si>
  <si>
    <t>09310200000</t>
  </si>
  <si>
    <t>09311200000</t>
  </si>
  <si>
    <t>09312200000</t>
  </si>
  <si>
    <t>09313200000</t>
  </si>
  <si>
    <t>09314200000</t>
  </si>
  <si>
    <t>09501000000</t>
  </si>
  <si>
    <t>09502000000</t>
  </si>
  <si>
    <t>09503000000</t>
  </si>
  <si>
    <t>10100000000</t>
  </si>
  <si>
    <t>10201100000</t>
  </si>
  <si>
    <t>10202100000</t>
  </si>
  <si>
    <t>10203100000</t>
  </si>
  <si>
    <t>10204100000</t>
  </si>
  <si>
    <t>10205100000</t>
  </si>
  <si>
    <t>10206100000</t>
  </si>
  <si>
    <t>10207100000</t>
  </si>
  <si>
    <t>10208100000</t>
  </si>
  <si>
    <t>10209100000</t>
  </si>
  <si>
    <t>10210100000</t>
  </si>
  <si>
    <t>10211100000</t>
  </si>
  <si>
    <t>10212100000</t>
  </si>
  <si>
    <t>10301200000</t>
  </si>
  <si>
    <t>10302200000</t>
  </si>
  <si>
    <t>10303200000</t>
  </si>
  <si>
    <t>10304200000</t>
  </si>
  <si>
    <t>10305200000</t>
  </si>
  <si>
    <t>10306200000</t>
  </si>
  <si>
    <t>10307200000</t>
  </si>
  <si>
    <t>10308200000</t>
  </si>
  <si>
    <t>10309200000</t>
  </si>
  <si>
    <t>10310200000</t>
  </si>
  <si>
    <t>10311200000</t>
  </si>
  <si>
    <t>10312200000</t>
  </si>
  <si>
    <t>10313200000</t>
  </si>
  <si>
    <t>10314200000</t>
  </si>
  <si>
    <t>10315200000</t>
  </si>
  <si>
    <t>10316200000</t>
  </si>
  <si>
    <t>10317200000</t>
  </si>
  <si>
    <t>10318200000</t>
  </si>
  <si>
    <t>10319200000</t>
  </si>
  <si>
    <t>10320200000</t>
  </si>
  <si>
    <t>10321200000</t>
  </si>
  <si>
    <t>10322200000</t>
  </si>
  <si>
    <t>10323200000</t>
  </si>
  <si>
    <t>10324200000</t>
  </si>
  <si>
    <t>10325200000</t>
  </si>
  <si>
    <t>10501000000</t>
  </si>
  <si>
    <t>11100000000</t>
  </si>
  <si>
    <t>11201100000</t>
  </si>
  <si>
    <t>11202100000</t>
  </si>
  <si>
    <t>11203100000</t>
  </si>
  <si>
    <t>11204100000</t>
  </si>
  <si>
    <t>11301200000</t>
  </si>
  <si>
    <t>11302200000</t>
  </si>
  <si>
    <t>11303200000</t>
  </si>
  <si>
    <t>11304200000</t>
  </si>
  <si>
    <t>11305200000</t>
  </si>
  <si>
    <t>11306200000</t>
  </si>
  <si>
    <t>11307200000</t>
  </si>
  <si>
    <t>11308200000</t>
  </si>
  <si>
    <t>11309200000</t>
  </si>
  <si>
    <t>11310200000</t>
  </si>
  <si>
    <t>11311200000</t>
  </si>
  <si>
    <t>11312200000</t>
  </si>
  <si>
    <t>11313200000</t>
  </si>
  <si>
    <t>11314200000</t>
  </si>
  <si>
    <t>11315200000</t>
  </si>
  <si>
    <t>11316200000</t>
  </si>
  <si>
    <t>11317200000</t>
  </si>
  <si>
    <t>11318200000</t>
  </si>
  <si>
    <t>11319200000</t>
  </si>
  <si>
    <t>11320200000</t>
  </si>
  <si>
    <t>11321200000</t>
  </si>
  <si>
    <t>11501000000</t>
  </si>
  <si>
    <t>12100000000</t>
  </si>
  <si>
    <t>12201100000</t>
  </si>
  <si>
    <t>12202100000</t>
  </si>
  <si>
    <t>12203100000</t>
  </si>
  <si>
    <t>12204100000</t>
  </si>
  <si>
    <t>12205100000</t>
  </si>
  <si>
    <t>12206100000</t>
  </si>
  <si>
    <t>12207100000</t>
  </si>
  <si>
    <t>12208100000</t>
  </si>
  <si>
    <t>12209100000</t>
  </si>
  <si>
    <t>12210100000</t>
  </si>
  <si>
    <t>12211100000</t>
  </si>
  <si>
    <t>12212100000</t>
  </si>
  <si>
    <t>12213100000</t>
  </si>
  <si>
    <t>12214100000</t>
  </si>
  <si>
    <t>12301200000</t>
  </si>
  <si>
    <t>12302200000</t>
  </si>
  <si>
    <t>12303200000</t>
  </si>
  <si>
    <t>12304200000</t>
  </si>
  <si>
    <t>12305200000</t>
  </si>
  <si>
    <t>12306200000</t>
  </si>
  <si>
    <t>12307200000</t>
  </si>
  <si>
    <t>12308200000</t>
  </si>
  <si>
    <t>12309200000</t>
  </si>
  <si>
    <t>12310200000</t>
  </si>
  <si>
    <t>12311200000</t>
  </si>
  <si>
    <t>12312200000</t>
  </si>
  <si>
    <t>12313200000</t>
  </si>
  <si>
    <t>12314200000</t>
  </si>
  <si>
    <t>12315200000</t>
  </si>
  <si>
    <t>12316200000</t>
  </si>
  <si>
    <t>12317200000</t>
  </si>
  <si>
    <t>13100000000</t>
  </si>
  <si>
    <t>13201100000</t>
  </si>
  <si>
    <t>13202100000</t>
  </si>
  <si>
    <t>13203100000</t>
  </si>
  <si>
    <t>13204100000</t>
  </si>
  <si>
    <t>13205100000</t>
  </si>
  <si>
    <t>13206100000</t>
  </si>
  <si>
    <t>13207100000</t>
  </si>
  <si>
    <t>13208100000</t>
  </si>
  <si>
    <t>13209100000</t>
  </si>
  <si>
    <t>13301200000</t>
  </si>
  <si>
    <t>13302200000</t>
  </si>
  <si>
    <t>13303200000</t>
  </si>
  <si>
    <t>13304200000</t>
  </si>
  <si>
    <t>13305200000</t>
  </si>
  <si>
    <t>13306200000</t>
  </si>
  <si>
    <t>13307200000</t>
  </si>
  <si>
    <t>13308200000</t>
  </si>
  <si>
    <t>13309200000</t>
  </si>
  <si>
    <t>13310200000</t>
  </si>
  <si>
    <t>13311200000</t>
  </si>
  <si>
    <t>13312200000</t>
  </si>
  <si>
    <t>13313200000</t>
  </si>
  <si>
    <t>13314200000</t>
  </si>
  <si>
    <t>13315200000</t>
  </si>
  <si>
    <t>13316200000</t>
  </si>
  <si>
    <t>13317200000</t>
  </si>
  <si>
    <t>13318200000</t>
  </si>
  <si>
    <t>13319200000</t>
  </si>
  <si>
    <t>13320200000</t>
  </si>
  <si>
    <t>13501000000</t>
  </si>
  <si>
    <t>13502000000</t>
  </si>
  <si>
    <t>13503000000</t>
  </si>
  <si>
    <t>13504000000</t>
  </si>
  <si>
    <t>13505000000</t>
  </si>
  <si>
    <t>13506000000</t>
  </si>
  <si>
    <t>13507000000</t>
  </si>
  <si>
    <t>13508000000</t>
  </si>
  <si>
    <t>13509000000</t>
  </si>
  <si>
    <t>13510000000</t>
  </si>
  <si>
    <t>14301200000</t>
  </si>
  <si>
    <t>14302200000</t>
  </si>
  <si>
    <t>14303200000</t>
  </si>
  <si>
    <t>14304200000</t>
  </si>
  <si>
    <t>14305200000</t>
  </si>
  <si>
    <t>14306200000</t>
  </si>
  <si>
    <t>14307200000</t>
  </si>
  <si>
    <t>14308200000</t>
  </si>
  <si>
    <t>14309200000</t>
  </si>
  <si>
    <t>14310200000</t>
  </si>
  <si>
    <t>14311200000</t>
  </si>
  <si>
    <t>14312200000</t>
  </si>
  <si>
    <t>14313200000</t>
  </si>
  <si>
    <t>14314200000</t>
  </si>
  <si>
    <t>14315200000</t>
  </si>
  <si>
    <t>14316200000</t>
  </si>
  <si>
    <t>14317200000</t>
  </si>
  <si>
    <t>14318200000</t>
  </si>
  <si>
    <t>14319200000</t>
  </si>
  <si>
    <t>15100000000</t>
  </si>
  <si>
    <t>15201100000</t>
  </si>
  <si>
    <t>15202100000</t>
  </si>
  <si>
    <t>15203100000</t>
  </si>
  <si>
    <t>15204100000</t>
  </si>
  <si>
    <t>15205100000</t>
  </si>
  <si>
    <t>15206100000</t>
  </si>
  <si>
    <t>15207100000</t>
  </si>
  <si>
    <t>15301200000</t>
  </si>
  <si>
    <t>15302200000</t>
  </si>
  <si>
    <t>15303200000</t>
  </si>
  <si>
    <t>15304200000</t>
  </si>
  <si>
    <t>15305200000</t>
  </si>
  <si>
    <t>15306200000</t>
  </si>
  <si>
    <t>15307200000</t>
  </si>
  <si>
    <t>15308200000</t>
  </si>
  <si>
    <t>15309200000</t>
  </si>
  <si>
    <t>15310200000</t>
  </si>
  <si>
    <t>15311200000</t>
  </si>
  <si>
    <t>15312200000</t>
  </si>
  <si>
    <t>15313200000</t>
  </si>
  <si>
    <t>15314200000</t>
  </si>
  <si>
    <t>15315200000</t>
  </si>
  <si>
    <t>15316200000</t>
  </si>
  <si>
    <t>15317200000</t>
  </si>
  <si>
    <t>15318200000</t>
  </si>
  <si>
    <t>15319200000</t>
  </si>
  <si>
    <t>15320200000</t>
  </si>
  <si>
    <t>15321200000</t>
  </si>
  <si>
    <t>15322200000</t>
  </si>
  <si>
    <t>15323200000</t>
  </si>
  <si>
    <t>15324200000</t>
  </si>
  <si>
    <t>15325200000</t>
  </si>
  <si>
    <t>15326200000</t>
  </si>
  <si>
    <t>15501000000</t>
  </si>
  <si>
    <t>15502000000</t>
  </si>
  <si>
    <t>15503000000</t>
  </si>
  <si>
    <t>15504000000</t>
  </si>
  <si>
    <t>15505000000</t>
  </si>
  <si>
    <t>15506000000</t>
  </si>
  <si>
    <t>15507000000</t>
  </si>
  <si>
    <t>отг Тузлівська (Татарбунарський район)</t>
  </si>
  <si>
    <t>15508000000</t>
  </si>
  <si>
    <t>16100000000</t>
  </si>
  <si>
    <t>16201100000</t>
  </si>
  <si>
    <t>16202100000</t>
  </si>
  <si>
    <t>16203100000</t>
  </si>
  <si>
    <t>16204100000</t>
  </si>
  <si>
    <t>16205100000</t>
  </si>
  <si>
    <t>16206100000</t>
  </si>
  <si>
    <t>16301200000</t>
  </si>
  <si>
    <t>16302200000</t>
  </si>
  <si>
    <t>16303200000</t>
  </si>
  <si>
    <t>16304200000</t>
  </si>
  <si>
    <t>16305200000</t>
  </si>
  <si>
    <t>16306200000</t>
  </si>
  <si>
    <t>16307200000</t>
  </si>
  <si>
    <t>16308200000</t>
  </si>
  <si>
    <t>16309200000</t>
  </si>
  <si>
    <t>16310200000</t>
  </si>
  <si>
    <t>16311200000</t>
  </si>
  <si>
    <t>16312200000</t>
  </si>
  <si>
    <t>16313200000</t>
  </si>
  <si>
    <t>16314200000</t>
  </si>
  <si>
    <t>16315200000</t>
  </si>
  <si>
    <t>16317200000</t>
  </si>
  <si>
    <t>16318200000</t>
  </si>
  <si>
    <t>16319200000</t>
  </si>
  <si>
    <t>16320200000</t>
  </si>
  <si>
    <t>16321200000</t>
  </si>
  <si>
    <t>16322200000</t>
  </si>
  <si>
    <t>16323200000</t>
  </si>
  <si>
    <t>16324200000</t>
  </si>
  <si>
    <t>16325200000</t>
  </si>
  <si>
    <t>16326200000</t>
  </si>
  <si>
    <t>16501000000</t>
  </si>
  <si>
    <t>16502000000</t>
  </si>
  <si>
    <t>16503000000</t>
  </si>
  <si>
    <t>16504000000</t>
  </si>
  <si>
    <t>16505000000</t>
  </si>
  <si>
    <t>16506000000</t>
  </si>
  <si>
    <t>16507000000</t>
  </si>
  <si>
    <t>16508000000</t>
  </si>
  <si>
    <t>16509000000</t>
  </si>
  <si>
    <t>16510000000</t>
  </si>
  <si>
    <t>16511000000</t>
  </si>
  <si>
    <t>16512000000</t>
  </si>
  <si>
    <t>отг Шишацька  (Шишацький район)</t>
  </si>
  <si>
    <t>17100000000</t>
  </si>
  <si>
    <t>17201100000</t>
  </si>
  <si>
    <t>17202100000</t>
  </si>
  <si>
    <t>17203100000</t>
  </si>
  <si>
    <t>17204100000</t>
  </si>
  <si>
    <t>17301200000</t>
  </si>
  <si>
    <t>17302200000</t>
  </si>
  <si>
    <t>17303200000</t>
  </si>
  <si>
    <t>17304200000</t>
  </si>
  <si>
    <t>17305200000</t>
  </si>
  <si>
    <t>17306200000</t>
  </si>
  <si>
    <t>17307200000</t>
  </si>
  <si>
    <t>17308200000</t>
  </si>
  <si>
    <t>17309200000</t>
  </si>
  <si>
    <t>17310200000</t>
  </si>
  <si>
    <t>17311200000</t>
  </si>
  <si>
    <t>17312200000</t>
  </si>
  <si>
    <t>17313200000</t>
  </si>
  <si>
    <t>17314200000</t>
  </si>
  <si>
    <t>17315200000</t>
  </si>
  <si>
    <t>17316200000</t>
  </si>
  <si>
    <t>17501000000</t>
  </si>
  <si>
    <t>17502000000</t>
  </si>
  <si>
    <t>17503000000</t>
  </si>
  <si>
    <t>17504000000</t>
  </si>
  <si>
    <t>17505000000</t>
  </si>
  <si>
    <t>18100000000</t>
  </si>
  <si>
    <t>18201100000</t>
  </si>
  <si>
    <t>18202100000</t>
  </si>
  <si>
    <t>18203100000</t>
  </si>
  <si>
    <t>18204100000</t>
  </si>
  <si>
    <t>18205100000</t>
  </si>
  <si>
    <t>18206100000</t>
  </si>
  <si>
    <t>18207100000</t>
  </si>
  <si>
    <t>18301200000</t>
  </si>
  <si>
    <t>18302200000</t>
  </si>
  <si>
    <t>18303200000</t>
  </si>
  <si>
    <t>18304200000</t>
  </si>
  <si>
    <t>18305200000</t>
  </si>
  <si>
    <t>18306200000</t>
  </si>
  <si>
    <t>18307200000</t>
  </si>
  <si>
    <t>18308200000</t>
  </si>
  <si>
    <t>18309200000</t>
  </si>
  <si>
    <t>18310200000</t>
  </si>
  <si>
    <t>18311200000</t>
  </si>
  <si>
    <t>18312200000</t>
  </si>
  <si>
    <t>18313200000</t>
  </si>
  <si>
    <t>18314200000</t>
  </si>
  <si>
    <t>18315200000</t>
  </si>
  <si>
    <t>18316200000</t>
  </si>
  <si>
    <t>18317200000</t>
  </si>
  <si>
    <t>18318200000</t>
  </si>
  <si>
    <t>18501000000</t>
  </si>
  <si>
    <t>19100000000</t>
  </si>
  <si>
    <t>19201100000</t>
  </si>
  <si>
    <t>19202100000</t>
  </si>
  <si>
    <t>19203100000</t>
  </si>
  <si>
    <t>19204100000</t>
  </si>
  <si>
    <t>19301200000</t>
  </si>
  <si>
    <t>19302200000</t>
  </si>
  <si>
    <t>19303200000</t>
  </si>
  <si>
    <t>19304200000</t>
  </si>
  <si>
    <t>19305200000</t>
  </si>
  <si>
    <t>19306200000</t>
  </si>
  <si>
    <t>19307200000</t>
  </si>
  <si>
    <t>19308200000</t>
  </si>
  <si>
    <t>19309200000</t>
  </si>
  <si>
    <t>19310200000</t>
  </si>
  <si>
    <t>19311200000</t>
  </si>
  <si>
    <t>19312200000</t>
  </si>
  <si>
    <t>19313200000</t>
  </si>
  <si>
    <t>19314200000</t>
  </si>
  <si>
    <t>19315200000</t>
  </si>
  <si>
    <t>19316200000</t>
  </si>
  <si>
    <t>19317200000</t>
  </si>
  <si>
    <t>20100000000</t>
  </si>
  <si>
    <t>20201100000</t>
  </si>
  <si>
    <t>20202100000</t>
  </si>
  <si>
    <t>20203100000</t>
  </si>
  <si>
    <t>20204100000</t>
  </si>
  <si>
    <t>20205100000</t>
  </si>
  <si>
    <t>20206100000</t>
  </si>
  <si>
    <t>20207100000</t>
  </si>
  <si>
    <t>20301200000</t>
  </si>
  <si>
    <t>20302200000</t>
  </si>
  <si>
    <t>20303200000</t>
  </si>
  <si>
    <t>20304200000</t>
  </si>
  <si>
    <t>20305200000</t>
  </si>
  <si>
    <t>20306200000</t>
  </si>
  <si>
    <t>20307200000</t>
  </si>
  <si>
    <t>20308200000</t>
  </si>
  <si>
    <t>20309200000</t>
  </si>
  <si>
    <t>20310200000</t>
  </si>
  <si>
    <t>20311200000</t>
  </si>
  <si>
    <t>20312200000</t>
  </si>
  <si>
    <t>20313200000</t>
  </si>
  <si>
    <t>20314200000</t>
  </si>
  <si>
    <t>20315200000</t>
  </si>
  <si>
    <t>20316200000</t>
  </si>
  <si>
    <t>20317200000</t>
  </si>
  <si>
    <t>20318200000</t>
  </si>
  <si>
    <t>20319200000</t>
  </si>
  <si>
    <t>20320200000</t>
  </si>
  <si>
    <t>20321200000</t>
  </si>
  <si>
    <t>20322200000</t>
  </si>
  <si>
    <t>20323200000</t>
  </si>
  <si>
    <t>20324200000</t>
  </si>
  <si>
    <t>20325200000</t>
  </si>
  <si>
    <t>20326200000</t>
  </si>
  <si>
    <t>20327200000</t>
  </si>
  <si>
    <t>21100000000</t>
  </si>
  <si>
    <t>21201100000</t>
  </si>
  <si>
    <t>21202100000</t>
  </si>
  <si>
    <t>21203100000</t>
  </si>
  <si>
    <t>21204100000</t>
  </si>
  <si>
    <t>21301200000</t>
  </si>
  <si>
    <t>21302200000</t>
  </si>
  <si>
    <t>21303200000</t>
  </si>
  <si>
    <t>21304200000</t>
  </si>
  <si>
    <t>21305200000</t>
  </si>
  <si>
    <t>21306200000</t>
  </si>
  <si>
    <t>21307200000</t>
  </si>
  <si>
    <t>21308200000</t>
  </si>
  <si>
    <t>21309200000</t>
  </si>
  <si>
    <t>21310200000</t>
  </si>
  <si>
    <t>21311200000</t>
  </si>
  <si>
    <t>21312200000</t>
  </si>
  <si>
    <t>21313200000</t>
  </si>
  <si>
    <t>21314200000</t>
  </si>
  <si>
    <t>21315200000</t>
  </si>
  <si>
    <t>21316200000</t>
  </si>
  <si>
    <t>21317200000</t>
  </si>
  <si>
    <t>21318200000</t>
  </si>
  <si>
    <t>21501000000</t>
  </si>
  <si>
    <t>22100000000</t>
  </si>
  <si>
    <t>22201100000</t>
  </si>
  <si>
    <t>22202100000</t>
  </si>
  <si>
    <t>22203100000</t>
  </si>
  <si>
    <t>22204100000</t>
  </si>
  <si>
    <t>22205100000</t>
  </si>
  <si>
    <t>22206100000</t>
  </si>
  <si>
    <t>22301200000</t>
  </si>
  <si>
    <t>22302200000</t>
  </si>
  <si>
    <t>22303200000</t>
  </si>
  <si>
    <t>22304200000</t>
  </si>
  <si>
    <t>22305200000</t>
  </si>
  <si>
    <t>22306200000</t>
  </si>
  <si>
    <t>22307200000</t>
  </si>
  <si>
    <t>22308200000</t>
  </si>
  <si>
    <t>22309200000</t>
  </si>
  <si>
    <t>22310200000</t>
  </si>
  <si>
    <t>22311200000</t>
  </si>
  <si>
    <t>22312200000</t>
  </si>
  <si>
    <t>22313200000</t>
  </si>
  <si>
    <t>22314200000</t>
  </si>
  <si>
    <t>22315200000</t>
  </si>
  <si>
    <t>22316200000</t>
  </si>
  <si>
    <t>22317200000</t>
  </si>
  <si>
    <t>22318200000</t>
  </si>
  <si>
    <t>22319200000</t>
  </si>
  <si>
    <t>22320200000</t>
  </si>
  <si>
    <t>22501000000</t>
  </si>
  <si>
    <t>22502000000</t>
  </si>
  <si>
    <t>22503000000</t>
  </si>
  <si>
    <t>22504000000</t>
  </si>
  <si>
    <t>22505000000</t>
  </si>
  <si>
    <t>отг Дунаєвецька  (Дунаєвецький район)</t>
  </si>
  <si>
    <t>22506000000</t>
  </si>
  <si>
    <t>22507000000</t>
  </si>
  <si>
    <t>22508000000</t>
  </si>
  <si>
    <t>22509000000</t>
  </si>
  <si>
    <t>22510000000</t>
  </si>
  <si>
    <t>22511000000</t>
  </si>
  <si>
    <t>22512000000</t>
  </si>
  <si>
    <t>22513000000</t>
  </si>
  <si>
    <t>22514000000</t>
  </si>
  <si>
    <t>22515000000</t>
  </si>
  <si>
    <t>23100000000</t>
  </si>
  <si>
    <t>23201100000</t>
  </si>
  <si>
    <t>23202100000</t>
  </si>
  <si>
    <t>23203100000</t>
  </si>
  <si>
    <t>23204100000</t>
  </si>
  <si>
    <t>23205100000</t>
  </si>
  <si>
    <t>23206100000</t>
  </si>
  <si>
    <t>23301200000</t>
  </si>
  <si>
    <t>23302200000</t>
  </si>
  <si>
    <t>23303200000</t>
  </si>
  <si>
    <t>23304200000</t>
  </si>
  <si>
    <t>23305200000</t>
  </si>
  <si>
    <t>23306200000</t>
  </si>
  <si>
    <t>23307200000</t>
  </si>
  <si>
    <t>23308200000</t>
  </si>
  <si>
    <t>23309200000</t>
  </si>
  <si>
    <t>23310200000</t>
  </si>
  <si>
    <t>23311200000</t>
  </si>
  <si>
    <t>23312200000</t>
  </si>
  <si>
    <t>23313200000</t>
  </si>
  <si>
    <t>23314200000</t>
  </si>
  <si>
    <t>23315200000</t>
  </si>
  <si>
    <t>23316200000</t>
  </si>
  <si>
    <t>23317200000</t>
  </si>
  <si>
    <t>23318200000</t>
  </si>
  <si>
    <t>23319200000</t>
  </si>
  <si>
    <t>23320200000</t>
  </si>
  <si>
    <t>23501000000</t>
  </si>
  <si>
    <t>23502000000</t>
  </si>
  <si>
    <t>23503000000</t>
  </si>
  <si>
    <t>24100000000</t>
  </si>
  <si>
    <t>24201100000</t>
  </si>
  <si>
    <t>24202100000</t>
  </si>
  <si>
    <t>24301200000</t>
  </si>
  <si>
    <t>24302200000</t>
  </si>
  <si>
    <t>24303200000</t>
  </si>
  <si>
    <t>24304200000</t>
  </si>
  <si>
    <t>24305200000</t>
  </si>
  <si>
    <t>24306200000</t>
  </si>
  <si>
    <t>24307200000</t>
  </si>
  <si>
    <t>24308200000</t>
  </si>
  <si>
    <t>24309200000</t>
  </si>
  <si>
    <t>24310200000</t>
  </si>
  <si>
    <t>24311200000</t>
  </si>
  <si>
    <t>24501000000</t>
  </si>
  <si>
    <t>24502000000</t>
  </si>
  <si>
    <t>25100000000</t>
  </si>
  <si>
    <t>25201100000</t>
  </si>
  <si>
    <t>25202100000</t>
  </si>
  <si>
    <t>25203100000</t>
  </si>
  <si>
    <t>25204100000</t>
  </si>
  <si>
    <t>25301200000</t>
  </si>
  <si>
    <t>25302200000</t>
  </si>
  <si>
    <t>25303200000</t>
  </si>
  <si>
    <t>25304200000</t>
  </si>
  <si>
    <t>25305200000</t>
  </si>
  <si>
    <t>25306200000</t>
  </si>
  <si>
    <t>25307200000</t>
  </si>
  <si>
    <t>25308200000</t>
  </si>
  <si>
    <t>25309200000</t>
  </si>
  <si>
    <t>25310200000</t>
  </si>
  <si>
    <t>25311200000</t>
  </si>
  <si>
    <t>25312200000</t>
  </si>
  <si>
    <t>25313200000</t>
  </si>
  <si>
    <t>25314200000</t>
  </si>
  <si>
    <t>25315200000</t>
  </si>
  <si>
    <t>25316200000</t>
  </si>
  <si>
    <t>25317200000</t>
  </si>
  <si>
    <t>25318200000</t>
  </si>
  <si>
    <t>25319200000</t>
  </si>
  <si>
    <t>25320200000</t>
  </si>
  <si>
    <t>25321200000</t>
  </si>
  <si>
    <t>25322200000</t>
  </si>
  <si>
    <t>25501000000</t>
  </si>
  <si>
    <t>26000000000</t>
  </si>
  <si>
    <t>АТО</t>
  </si>
  <si>
    <t>02501000000</t>
  </si>
  <si>
    <t>отг. Калинівська (Калинівський район)</t>
  </si>
  <si>
    <t>02502000000</t>
  </si>
  <si>
    <t>отг. Студенянська ( Піщанський район)</t>
  </si>
  <si>
    <t>отг Високівська (Черняхівський район)</t>
  </si>
  <si>
    <t>отг Вишевицька (Радомишльський район)</t>
  </si>
  <si>
    <t>отг Дубрівська (Баранівський район)</t>
  </si>
  <si>
    <t>06506000000</t>
  </si>
  <si>
    <t>06507000000</t>
  </si>
  <si>
    <t>06508000000</t>
  </si>
  <si>
    <t>отг Тетерівська (Житомирський район)</t>
  </si>
  <si>
    <t>06509000000</t>
  </si>
  <si>
    <t>07501000000</t>
  </si>
  <si>
    <t>отг Вільховецька (Тячівський район)</t>
  </si>
  <si>
    <t>07502000000</t>
  </si>
  <si>
    <t>отг Тячівська (Тячівський район)</t>
  </si>
  <si>
    <t>08506000000</t>
  </si>
  <si>
    <t>отг Калитянська (Броварський район)</t>
  </si>
  <si>
    <t>11502000000</t>
  </si>
  <si>
    <t>отг Маловисківська (Маловисківський район)</t>
  </si>
  <si>
    <t>12501000000</t>
  </si>
  <si>
    <t>отг Білокуракинська (Білокуракинський район)</t>
  </si>
  <si>
    <t>12502000000</t>
  </si>
  <si>
    <t>отг Новопсковська (Новопсковський район)</t>
  </si>
  <si>
    <t>отг Вільшаницька (Самбірський район)</t>
  </si>
  <si>
    <t>отг Грабовецька (Стрійський район)</t>
  </si>
  <si>
    <t>отг Луківська (Самбірський район)</t>
  </si>
  <si>
    <t>отг Міженецька (Старосамбірський район)</t>
  </si>
  <si>
    <t>13511000000</t>
  </si>
  <si>
    <t>13512000000</t>
  </si>
  <si>
    <t>отг Новоміська (Старосамбірський район)</t>
  </si>
  <si>
    <t>13513000000</t>
  </si>
  <si>
    <t>13514000000</t>
  </si>
  <si>
    <t>13515000000</t>
  </si>
  <si>
    <t>14501000000</t>
  </si>
  <si>
    <t>отг Куцурубська (Очаківський район)</t>
  </si>
  <si>
    <t>19501000000</t>
  </si>
  <si>
    <t>отг Байковецька  (Тернопільський район)</t>
  </si>
  <si>
    <t>19502000000</t>
  </si>
  <si>
    <t>отг Білобожницька  (Чортківський район)</t>
  </si>
  <si>
    <t>19503000000</t>
  </si>
  <si>
    <t>отг Васильковецька  (Гусятинський район)</t>
  </si>
  <si>
    <t>19504000000</t>
  </si>
  <si>
    <t>отг Великогаївська  (Тернопільський район)</t>
  </si>
  <si>
    <t>19505000000</t>
  </si>
  <si>
    <t>отг Гусятинська  (Гусятинський район)</t>
  </si>
  <si>
    <t>19506000000</t>
  </si>
  <si>
    <t>отг Заводська  (Чортківський район)</t>
  </si>
  <si>
    <t>19507000000</t>
  </si>
  <si>
    <t>отг Золотниківська  (Теребовлянський район)</t>
  </si>
  <si>
    <t>19508000000</t>
  </si>
  <si>
    <t>отг Золотопотіцька  (Бучацький район)</t>
  </si>
  <si>
    <t>19509000000</t>
  </si>
  <si>
    <t>отг Іванівська  (Теребовлянський район)</t>
  </si>
  <si>
    <t>19510000000</t>
  </si>
  <si>
    <t>отг Козлівська  (Козівський район)</t>
  </si>
  <si>
    <t>19511000000</t>
  </si>
  <si>
    <t>отг Колиндянська   (Чортківський район)</t>
  </si>
  <si>
    <t>19512000000</t>
  </si>
  <si>
    <t>отг Колодненська   (Збаразький район)</t>
  </si>
  <si>
    <t>19513000000</t>
  </si>
  <si>
    <t>отг Коропецька   (Монастириський район)</t>
  </si>
  <si>
    <t>19514000000</t>
  </si>
  <si>
    <t>отг Лопушненська   (Кременський район)</t>
  </si>
  <si>
    <t>19515000000</t>
  </si>
  <si>
    <t>отг Мельнице-Подільська   (Борщівський район)</t>
  </si>
  <si>
    <t>19516000000</t>
  </si>
  <si>
    <t>19517000000</t>
  </si>
  <si>
    <t>отг Новосільська   (Підволочиський район)</t>
  </si>
  <si>
    <t>19518000000</t>
  </si>
  <si>
    <t>отг Озернянська   (Зборівський район)</t>
  </si>
  <si>
    <t>19519000000</t>
  </si>
  <si>
    <t>отг Озерянська   (Борщівський район)</t>
  </si>
  <si>
    <t>19520000000</t>
  </si>
  <si>
    <t>отг Підволочиська   (Підволочиський район)</t>
  </si>
  <si>
    <t>19521000000</t>
  </si>
  <si>
    <t>отг Почаївська   (Кременецький район)</t>
  </si>
  <si>
    <t>19522000000</t>
  </si>
  <si>
    <t>отг Скала-Подільська   (Борщівський район)</t>
  </si>
  <si>
    <t>19523000000</t>
  </si>
  <si>
    <t>отг Скалатська   (Підволочиський район)</t>
  </si>
  <si>
    <t>19524000000</t>
  </si>
  <si>
    <t>отг Скориківська   (Підволочиський район)</t>
  </si>
  <si>
    <t>19525000000</t>
  </si>
  <si>
    <t>отг Теребовлянська   (Теребовлянський район)</t>
  </si>
  <si>
    <t>19526000000</t>
  </si>
  <si>
    <t>отг Шумська   (Шумський район)</t>
  </si>
  <si>
    <t>отг Війтовецька  (Волочиський район)</t>
  </si>
  <si>
    <t>отг Гвардійська  (Хмельницький район)</t>
  </si>
  <si>
    <t>отг Китайгородська  (Кам"янець-Подільський район)</t>
  </si>
  <si>
    <t>отг Колибаївська  (Кам"янець-Подільський район)</t>
  </si>
  <si>
    <t>22516000000</t>
  </si>
  <si>
    <t>отг Новоушицька  (Новоушицький район)</t>
  </si>
  <si>
    <t>ПДФО на 1 жителя</t>
  </si>
  <si>
    <t>Разом</t>
  </si>
  <si>
    <t>до пояснювальної записки</t>
  </si>
  <si>
    <t>Таблиця 11</t>
  </si>
  <si>
    <t>Назва адміністративно-територіальних одиниць</t>
  </si>
  <si>
    <t>Наявне населення за станом на 01.01.2017, (тис. чол.)</t>
  </si>
  <si>
    <t>Разом / середній показник</t>
  </si>
  <si>
    <t xml:space="preserve">коефіцієнту коригування додаткової дотації з державного бюджету місцевим бюджетам на здійснення переданих з державного бюджету видатків з утримання закладів освіти та охорони здоров'я  між місцевими бюджетами області з урахуванням ПДФО на 1 жителя на 2018 рік  </t>
  </si>
  <si>
    <t>Коефіцієнт коригування</t>
  </si>
  <si>
    <t>ПДФО  грн./         на 1 жителя, тис.грн.</t>
  </si>
  <si>
    <t xml:space="preserve">Розрахунок показнику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</si>
</sst>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"/>
    <numFmt numFmtId="165" formatCode="#,##0.0000"/>
    <numFmt numFmtId="166" formatCode="_-* #,##0.00\ _г_р_н_._-;\-* #,##0.00\ _г_р_н_._-;_-* &quot;-&quot;??\ _г_р_н_._-;_-@_-"/>
    <numFmt numFmtId="167" formatCode="#,##0\ &quot;грн.&quot;;\-#,##0\ &quot;грн.&quot;"/>
    <numFmt numFmtId="168" formatCode="#,##0.000"/>
    <numFmt numFmtId="169" formatCode="#,##0.0000000"/>
    <numFmt numFmtId="170" formatCode="#,##0.00000000"/>
    <numFmt numFmtId="171" formatCode="0.000"/>
  </numFmts>
  <fonts count="27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Courier New"/>
      <family val="3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0" fontId="11" fillId="0" borderId="0"/>
    <xf numFmtId="0" fontId="8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8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4" fillId="0" borderId="0"/>
    <xf numFmtId="0" fontId="12" fillId="0" borderId="0"/>
    <xf numFmtId="166" fontId="11" fillId="0" borderId="0" applyFont="0" applyFill="0" applyBorder="0" applyAlignment="0" applyProtection="0"/>
    <xf numFmtId="167" fontId="11" fillId="0" borderId="0" applyFont="0" applyFill="0" applyBorder="0" applyAlignment="0" applyProtection="0"/>
  </cellStyleXfs>
  <cellXfs count="113">
    <xf numFmtId="0" fontId="0" fillId="0" borderId="0" xfId="0"/>
    <xf numFmtId="164" fontId="9" fillId="0" borderId="1" xfId="0" applyNumberFormat="1" applyFont="1" applyFill="1" applyBorder="1" applyAlignment="1">
      <alignment vertical="center"/>
    </xf>
    <xf numFmtId="164" fontId="0" fillId="0" borderId="0" xfId="0" applyNumberFormat="1"/>
    <xf numFmtId="0" fontId="10" fillId="0" borderId="1" xfId="2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10" fillId="3" borderId="1" xfId="2" applyFont="1" applyFill="1" applyBorder="1" applyAlignment="1">
      <alignment vertical="center"/>
    </xf>
    <xf numFmtId="164" fontId="9" fillId="3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vertical="center"/>
    </xf>
    <xf numFmtId="0" fontId="7" fillId="0" borderId="0" xfId="0" applyFont="1" applyAlignment="1"/>
    <xf numFmtId="164" fontId="5" fillId="3" borderId="1" xfId="0" applyNumberFormat="1" applyFont="1" applyFill="1" applyBorder="1" applyAlignment="1">
      <alignment vertical="center"/>
    </xf>
    <xf numFmtId="164" fontId="5" fillId="4" borderId="1" xfId="0" applyNumberFormat="1" applyFont="1" applyFill="1" applyBorder="1" applyAlignment="1">
      <alignment vertical="center"/>
    </xf>
    <xf numFmtId="164" fontId="5" fillId="0" borderId="1" xfId="0" applyNumberFormat="1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righ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5" fillId="4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right" vertical="center"/>
    </xf>
    <xf numFmtId="0" fontId="6" fillId="5" borderId="1" xfId="2" applyFont="1" applyFill="1" applyBorder="1" applyAlignment="1">
      <alignment horizontal="center"/>
    </xf>
    <xf numFmtId="0" fontId="14" fillId="6" borderId="1" xfId="2" applyFont="1" applyFill="1" applyBorder="1" applyAlignment="1">
      <alignment horizontal="center"/>
    </xf>
    <xf numFmtId="49" fontId="5" fillId="7" borderId="1" xfId="0" applyNumberFormat="1" applyFont="1" applyFill="1" applyBorder="1" applyAlignment="1">
      <alignment horizontal="right" vertical="center"/>
    </xf>
    <xf numFmtId="164" fontId="5" fillId="7" borderId="1" xfId="0" applyNumberFormat="1" applyFont="1" applyFill="1" applyBorder="1" applyAlignment="1">
      <alignment vertical="center"/>
    </xf>
    <xf numFmtId="0" fontId="16" fillId="7" borderId="1" xfId="25" applyFont="1" applyFill="1" applyBorder="1" applyAlignment="1">
      <alignment horizontal="right" vertical="top"/>
    </xf>
    <xf numFmtId="0" fontId="16" fillId="7" borderId="1" xfId="2" applyFont="1" applyFill="1" applyBorder="1" applyAlignment="1">
      <alignment horizontal="right" vertical="top"/>
    </xf>
    <xf numFmtId="0" fontId="16" fillId="7" borderId="1" xfId="2" applyFont="1" applyFill="1" applyBorder="1" applyAlignment="1">
      <alignment horizontal="center" vertical="top"/>
    </xf>
    <xf numFmtId="0" fontId="14" fillId="7" borderId="1" xfId="2" applyFont="1" applyFill="1" applyBorder="1" applyAlignment="1">
      <alignment horizontal="center"/>
    </xf>
    <xf numFmtId="3" fontId="0" fillId="0" borderId="0" xfId="0" applyNumberFormat="1"/>
    <xf numFmtId="3" fontId="7" fillId="0" borderId="0" xfId="0" applyNumberFormat="1" applyFont="1" applyAlignment="1"/>
    <xf numFmtId="3" fontId="5" fillId="0" borderId="1" xfId="0" applyNumberFormat="1" applyFont="1" applyFill="1" applyBorder="1" applyAlignment="1">
      <alignment vertical="center"/>
    </xf>
    <xf numFmtId="3" fontId="5" fillId="3" borderId="1" xfId="0" applyNumberFormat="1" applyFont="1" applyFill="1" applyBorder="1" applyAlignment="1">
      <alignment vertical="center"/>
    </xf>
    <xf numFmtId="3" fontId="5" fillId="7" borderId="1" xfId="0" applyNumberFormat="1" applyFont="1" applyFill="1" applyBorder="1" applyAlignment="1">
      <alignment vertical="center"/>
    </xf>
    <xf numFmtId="3" fontId="13" fillId="6" borderId="1" xfId="2" applyNumberFormat="1" applyFont="1" applyFill="1" applyBorder="1" applyAlignment="1">
      <alignment horizontal="center"/>
    </xf>
    <xf numFmtId="3" fontId="5" fillId="4" borderId="1" xfId="0" applyNumberFormat="1" applyFont="1" applyFill="1" applyBorder="1" applyAlignment="1">
      <alignment vertical="center"/>
    </xf>
    <xf numFmtId="3" fontId="16" fillId="7" borderId="1" xfId="2" applyNumberFormat="1" applyFont="1" applyFill="1" applyBorder="1" applyAlignment="1">
      <alignment horizontal="center" vertical="top"/>
    </xf>
    <xf numFmtId="3" fontId="13" fillId="7" borderId="1" xfId="2" applyNumberFormat="1" applyFont="1" applyFill="1" applyBorder="1" applyAlignment="1">
      <alignment horizontal="center"/>
    </xf>
    <xf numFmtId="3" fontId="13" fillId="5" borderId="1" xfId="2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vertical="center"/>
    </xf>
    <xf numFmtId="164" fontId="5" fillId="8" borderId="1" xfId="0" applyNumberFormat="1" applyFont="1" applyFill="1" applyBorder="1" applyAlignment="1">
      <alignment vertical="center" wrapText="1"/>
    </xf>
    <xf numFmtId="164" fontId="5" fillId="9" borderId="1" xfId="0" applyNumberFormat="1" applyFont="1" applyFill="1" applyBorder="1" applyAlignment="1">
      <alignment vertical="center" wrapText="1"/>
    </xf>
    <xf numFmtId="164" fontId="9" fillId="9" borderId="1" xfId="0" applyNumberFormat="1" applyFont="1" applyFill="1" applyBorder="1" applyAlignment="1">
      <alignment vertical="center"/>
    </xf>
    <xf numFmtId="165" fontId="0" fillId="0" borderId="0" xfId="0" applyNumberFormat="1"/>
    <xf numFmtId="0" fontId="1" fillId="0" borderId="0" xfId="0" applyFont="1" applyBorder="1" applyAlignment="1">
      <alignment horizontal="right"/>
    </xf>
    <xf numFmtId="164" fontId="5" fillId="4" borderId="1" xfId="0" applyNumberFormat="1" applyFont="1" applyFill="1" applyBorder="1" applyAlignment="1">
      <alignment vertical="center" wrapText="1"/>
    </xf>
    <xf numFmtId="164" fontId="9" fillId="4" borderId="1" xfId="0" applyNumberFormat="1" applyFont="1" applyFill="1" applyBorder="1" applyAlignment="1">
      <alignment vertical="center"/>
    </xf>
    <xf numFmtId="0" fontId="10" fillId="4" borderId="1" xfId="2" applyFont="1" applyFill="1" applyBorder="1" applyAlignment="1">
      <alignment vertical="center"/>
    </xf>
    <xf numFmtId="2" fontId="0" fillId="0" borderId="0" xfId="0" applyNumberFormat="1"/>
    <xf numFmtId="169" fontId="0" fillId="0" borderId="0" xfId="0" applyNumberFormat="1"/>
    <xf numFmtId="164" fontId="5" fillId="10" borderId="1" xfId="0" applyNumberFormat="1" applyFont="1" applyFill="1" applyBorder="1" applyAlignment="1">
      <alignment vertical="center" wrapText="1"/>
    </xf>
    <xf numFmtId="164" fontId="9" fillId="10" borderId="1" xfId="0" applyNumberFormat="1" applyFont="1" applyFill="1" applyBorder="1" applyAlignment="1">
      <alignment vertical="center"/>
    </xf>
    <xf numFmtId="49" fontId="5" fillId="11" borderId="1" xfId="0" applyNumberFormat="1" applyFont="1" applyFill="1" applyBorder="1" applyAlignment="1">
      <alignment horizontal="right" vertical="center"/>
    </xf>
    <xf numFmtId="164" fontId="5" fillId="11" borderId="1" xfId="0" applyNumberFormat="1" applyFont="1" applyFill="1" applyBorder="1" applyAlignment="1">
      <alignment vertical="center"/>
    </xf>
    <xf numFmtId="3" fontId="5" fillId="11" borderId="1" xfId="0" applyNumberFormat="1" applyFont="1" applyFill="1" applyBorder="1" applyAlignment="1">
      <alignment vertical="center"/>
    </xf>
    <xf numFmtId="164" fontId="5" fillId="11" borderId="1" xfId="0" applyNumberFormat="1" applyFont="1" applyFill="1" applyBorder="1" applyAlignment="1">
      <alignment vertical="center" wrapText="1"/>
    </xf>
    <xf numFmtId="164" fontId="9" fillId="11" borderId="1" xfId="0" applyNumberFormat="1" applyFont="1" applyFill="1" applyBorder="1" applyAlignment="1">
      <alignment vertical="center"/>
    </xf>
    <xf numFmtId="0" fontId="14" fillId="11" borderId="1" xfId="2" applyFont="1" applyFill="1" applyBorder="1" applyAlignment="1">
      <alignment horizontal="center"/>
    </xf>
    <xf numFmtId="3" fontId="13" fillId="11" borderId="1" xfId="2" applyNumberFormat="1" applyFont="1" applyFill="1" applyBorder="1" applyAlignment="1">
      <alignment horizontal="center"/>
    </xf>
    <xf numFmtId="0" fontId="16" fillId="11" borderId="1" xfId="25" applyFont="1" applyFill="1" applyBorder="1" applyAlignment="1">
      <alignment horizontal="right" vertical="top"/>
    </xf>
    <xf numFmtId="0" fontId="16" fillId="11" borderId="1" xfId="2" applyFont="1" applyFill="1" applyBorder="1" applyAlignment="1">
      <alignment horizontal="right" vertical="top"/>
    </xf>
    <xf numFmtId="0" fontId="16" fillId="11" borderId="1" xfId="2" applyFont="1" applyFill="1" applyBorder="1" applyAlignment="1">
      <alignment horizontal="center" vertical="top"/>
    </xf>
    <xf numFmtId="3" fontId="16" fillId="11" borderId="1" xfId="2" applyNumberFormat="1" applyFont="1" applyFill="1" applyBorder="1" applyAlignment="1">
      <alignment horizontal="center" vertical="top"/>
    </xf>
    <xf numFmtId="0" fontId="10" fillId="11" borderId="1" xfId="2" applyFont="1" applyFill="1" applyBorder="1" applyAlignment="1">
      <alignment vertical="center"/>
    </xf>
    <xf numFmtId="49" fontId="16" fillId="7" borderId="1" xfId="2" applyNumberFormat="1" applyFont="1" applyFill="1" applyBorder="1" applyAlignment="1">
      <alignment horizontal="center" vertical="top"/>
    </xf>
    <xf numFmtId="0" fontId="16" fillId="7" borderId="1" xfId="2" applyFont="1" applyFill="1" applyBorder="1" applyAlignment="1">
      <alignment horizontal="left" vertical="top" wrapText="1"/>
    </xf>
    <xf numFmtId="0" fontId="16" fillId="7" borderId="1" xfId="2" applyFont="1" applyFill="1" applyBorder="1" applyAlignment="1">
      <alignment horizontal="left" wrapText="1"/>
    </xf>
    <xf numFmtId="49" fontId="16" fillId="7" borderId="1" xfId="2" applyNumberFormat="1" applyFont="1" applyFill="1" applyBorder="1" applyAlignment="1">
      <alignment horizontal="left" vertical="top" wrapText="1"/>
    </xf>
    <xf numFmtId="170" fontId="3" fillId="2" borderId="1" xfId="0" applyNumberFormat="1" applyFont="1" applyFill="1" applyBorder="1" applyAlignment="1">
      <alignment vertical="center" wrapText="1"/>
    </xf>
    <xf numFmtId="168" fontId="5" fillId="0" borderId="1" xfId="0" applyNumberFormat="1" applyFont="1" applyFill="1" applyBorder="1" applyAlignment="1">
      <alignment vertical="center" wrapText="1"/>
    </xf>
    <xf numFmtId="164" fontId="5" fillId="12" borderId="1" xfId="0" applyNumberFormat="1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vertical="center" wrapText="1"/>
    </xf>
    <xf numFmtId="164" fontId="0" fillId="4" borderId="0" xfId="0" applyNumberFormat="1" applyFill="1"/>
    <xf numFmtId="0" fontId="17" fillId="13" borderId="1" xfId="3" applyFont="1" applyFill="1" applyBorder="1" applyAlignment="1">
      <alignment horizontal="center" vertical="center" textRotation="90" wrapText="1"/>
    </xf>
    <xf numFmtId="164" fontId="5" fillId="14" borderId="1" xfId="0" applyNumberFormat="1" applyFont="1" applyFill="1" applyBorder="1" applyAlignment="1">
      <alignment vertical="center" wrapText="1"/>
    </xf>
    <xf numFmtId="49" fontId="5" fillId="14" borderId="1" xfId="0" applyNumberFormat="1" applyFont="1" applyFill="1" applyBorder="1" applyAlignment="1">
      <alignment horizontal="right" vertical="center"/>
    </xf>
    <xf numFmtId="164" fontId="5" fillId="14" borderId="1" xfId="0" applyNumberFormat="1" applyFont="1" applyFill="1" applyBorder="1" applyAlignment="1">
      <alignment vertical="center"/>
    </xf>
    <xf numFmtId="3" fontId="5" fillId="14" borderId="1" xfId="0" applyNumberFormat="1" applyFont="1" applyFill="1" applyBorder="1" applyAlignment="1">
      <alignment vertical="center"/>
    </xf>
    <xf numFmtId="0" fontId="0" fillId="14" borderId="0" xfId="0" applyFill="1"/>
    <xf numFmtId="164" fontId="9" fillId="14" borderId="1" xfId="0" applyNumberFormat="1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vertical="center" wrapText="1"/>
    </xf>
    <xf numFmtId="4" fontId="0" fillId="0" borderId="0" xfId="0" applyNumberFormat="1"/>
    <xf numFmtId="4" fontId="5" fillId="0" borderId="1" xfId="0" applyNumberFormat="1" applyFont="1" applyFill="1" applyBorder="1" applyAlignment="1">
      <alignment vertical="center" wrapText="1"/>
    </xf>
    <xf numFmtId="168" fontId="3" fillId="2" borderId="1" xfId="0" applyNumberFormat="1" applyFont="1" applyFill="1" applyBorder="1" applyAlignment="1">
      <alignment vertical="center" wrapText="1"/>
    </xf>
    <xf numFmtId="0" fontId="18" fillId="0" borderId="0" xfId="0" applyFont="1" applyAlignment="1">
      <alignment horizontal="center"/>
    </xf>
    <xf numFmtId="168" fontId="5" fillId="4" borderId="1" xfId="0" applyNumberFormat="1" applyFont="1" applyFill="1" applyBorder="1" applyAlignment="1">
      <alignment vertical="center" wrapText="1"/>
    </xf>
    <xf numFmtId="168" fontId="5" fillId="11" borderId="1" xfId="0" applyNumberFormat="1" applyFont="1" applyFill="1" applyBorder="1" applyAlignment="1">
      <alignment vertical="center" wrapText="1"/>
    </xf>
    <xf numFmtId="168" fontId="13" fillId="15" borderId="1" xfId="0" applyNumberFormat="1" applyFont="1" applyFill="1" applyBorder="1" applyAlignment="1">
      <alignment horizontal="center" vertical="center"/>
    </xf>
    <xf numFmtId="168" fontId="13" fillId="15" borderId="4" xfId="0" applyNumberFormat="1" applyFont="1" applyFill="1" applyBorder="1" applyAlignment="1">
      <alignment horizontal="center" vertical="center"/>
    </xf>
    <xf numFmtId="168" fontId="19" fillId="15" borderId="4" xfId="0" applyNumberFormat="1" applyFont="1" applyFill="1" applyBorder="1" applyAlignment="1">
      <alignment horizontal="center" vertical="center"/>
    </xf>
    <xf numFmtId="168" fontId="20" fillId="15" borderId="4" xfId="0" applyNumberFormat="1" applyFont="1" applyFill="1" applyBorder="1" applyAlignment="1">
      <alignment horizontal="center" vertical="center"/>
    </xf>
    <xf numFmtId="0" fontId="21" fillId="15" borderId="4" xfId="0" applyFont="1" applyFill="1" applyBorder="1" applyAlignment="1">
      <alignment horizontal="center"/>
    </xf>
    <xf numFmtId="0" fontId="21" fillId="16" borderId="4" xfId="0" applyFont="1" applyFill="1" applyBorder="1" applyAlignment="1">
      <alignment horizontal="center"/>
    </xf>
    <xf numFmtId="0" fontId="22" fillId="0" borderId="0" xfId="0" applyFont="1"/>
    <xf numFmtId="4" fontId="22" fillId="0" borderId="0" xfId="0" applyNumberFormat="1" applyFont="1"/>
    <xf numFmtId="0" fontId="24" fillId="0" borderId="0" xfId="0" applyFont="1"/>
    <xf numFmtId="0" fontId="23" fillId="0" borderId="0" xfId="0" applyFont="1"/>
    <xf numFmtId="4" fontId="23" fillId="0" borderId="0" xfId="0" applyNumberFormat="1" applyFont="1"/>
    <xf numFmtId="4" fontId="25" fillId="0" borderId="0" xfId="0" applyNumberFormat="1" applyFont="1"/>
    <xf numFmtId="0" fontId="14" fillId="0" borderId="0" xfId="0" applyFont="1"/>
    <xf numFmtId="0" fontId="14" fillId="0" borderId="0" xfId="0" applyFont="1" applyAlignment="1">
      <alignment vertical="top"/>
    </xf>
    <xf numFmtId="171" fontId="2" fillId="0" borderId="2" xfId="0" applyNumberFormat="1" applyFont="1" applyFill="1" applyBorder="1" applyAlignment="1">
      <alignment horizontal="center" vertical="center" wrapText="1"/>
    </xf>
    <xf numFmtId="171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7" fillId="13" borderId="1" xfId="3" applyFont="1" applyFill="1" applyBorder="1" applyAlignment="1">
      <alignment horizontal="center" vertical="center" wrapText="1"/>
    </xf>
    <xf numFmtId="0" fontId="17" fillId="13" borderId="1" xfId="3" applyFont="1" applyFill="1" applyBorder="1"/>
    <xf numFmtId="0" fontId="17" fillId="13" borderId="1" xfId="3" applyFont="1" applyFill="1" applyBorder="1" applyAlignment="1">
      <alignment horizontal="center" vertical="center" textRotation="255" wrapText="1"/>
    </xf>
    <xf numFmtId="0" fontId="5" fillId="0" borderId="3" xfId="26" applyFont="1" applyFill="1" applyBorder="1" applyAlignment="1">
      <alignment horizontal="center" vertical="center" wrapText="1"/>
    </xf>
    <xf numFmtId="0" fontId="5" fillId="0" borderId="4" xfId="26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</cellXfs>
  <cellStyles count="30">
    <cellStyle name="Normal_meresha_07" xfId="1"/>
    <cellStyle name="Normal_Доходи" xfId="2"/>
    <cellStyle name="Normalny 2 2" xfId="3"/>
    <cellStyle name="Звичайний" xfId="0" builtinId="0"/>
    <cellStyle name="Звичайний 10" xfId="4"/>
    <cellStyle name="Звичайний 11" xfId="5"/>
    <cellStyle name="Звичайний 12" xfId="6"/>
    <cellStyle name="Звичайний 13" xfId="7"/>
    <cellStyle name="Звичайний 14" xfId="8"/>
    <cellStyle name="Звичайний 15" xfId="9"/>
    <cellStyle name="Звичайний 16" xfId="10"/>
    <cellStyle name="Звичайний 17" xfId="11"/>
    <cellStyle name="Звичайний 18" xfId="12"/>
    <cellStyle name="Звичайний 19" xfId="13"/>
    <cellStyle name="Звичайний 2" xfId="14"/>
    <cellStyle name="Звичайний 2 2" xfId="15"/>
    <cellStyle name="Звичайний 20" xfId="16"/>
    <cellStyle name="Звичайний 3" xfId="17"/>
    <cellStyle name="Звичайний 4" xfId="18"/>
    <cellStyle name="Звичайний 4 2" xfId="19"/>
    <cellStyle name="Звичайний 5" xfId="20"/>
    <cellStyle name="Звичайний 6" xfId="21"/>
    <cellStyle name="Звичайний 7" xfId="22"/>
    <cellStyle name="Звичайний 8" xfId="23"/>
    <cellStyle name="Звичайний 9" xfId="24"/>
    <cellStyle name="Обычный_Лист1" xfId="25"/>
    <cellStyle name="Обычный_Надра" xfId="26"/>
    <cellStyle name="Стиль 1" xfId="27"/>
    <cellStyle name="Фінансовий 2" xfId="28"/>
    <cellStyle name="Фінансовий 2 2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0000"/>
  </sheetPr>
  <dimension ref="A1:P1439"/>
  <sheetViews>
    <sheetView topLeftCell="E1" zoomScaleNormal="100" zoomScaleSheetLayoutView="80" workbookViewId="0">
      <pane xSplit="1" ySplit="724" topLeftCell="I755" activePane="bottomRight" state="frozen"/>
      <selection activeCell="E1" sqref="E1"/>
      <selection pane="topRight" activeCell="F1" sqref="F1"/>
      <selection pane="bottomLeft" activeCell="E725" sqref="E725"/>
      <selection pane="bottomRight" activeCell="E725" sqref="E725:M772"/>
    </sheetView>
  </sheetViews>
  <sheetFormatPr defaultRowHeight="14.4" x14ac:dyDescent="0.3"/>
  <cols>
    <col min="1" max="1" width="6" customWidth="1"/>
    <col min="2" max="2" width="8.5546875" hidden="1" customWidth="1"/>
    <col min="3" max="3" width="4.44140625" hidden="1" customWidth="1"/>
    <col min="4" max="4" width="16.44140625" style="26" hidden="1" customWidth="1"/>
    <col min="5" max="5" width="56.88671875" customWidth="1"/>
    <col min="6" max="6" width="13.44140625" hidden="1" customWidth="1"/>
    <col min="7" max="7" width="18.44140625" hidden="1" customWidth="1"/>
    <col min="8" max="8" width="14.33203125" hidden="1" customWidth="1"/>
    <col min="9" max="9" width="14.44140625" customWidth="1"/>
    <col min="10" max="10" width="26.6640625" hidden="1" customWidth="1"/>
    <col min="11" max="11" width="19.44140625" hidden="1" customWidth="1"/>
    <col min="12" max="12" width="18.88671875" customWidth="1"/>
    <col min="13" max="13" width="11.109375" customWidth="1"/>
    <col min="14" max="14" width="12.88671875" hidden="1" customWidth="1"/>
    <col min="15" max="15" width="14" hidden="1" customWidth="1"/>
    <col min="16" max="16" width="15.6640625" hidden="1" customWidth="1"/>
  </cols>
  <sheetData>
    <row r="1" spans="1:16" ht="21" x14ac:dyDescent="0.4">
      <c r="A1" s="9"/>
      <c r="B1" s="9"/>
      <c r="C1" s="9"/>
      <c r="D1" s="27"/>
      <c r="E1" s="102" t="s">
        <v>2692</v>
      </c>
      <c r="F1" s="102"/>
      <c r="G1" s="102"/>
      <c r="H1" s="102"/>
      <c r="I1" s="102"/>
      <c r="J1" s="102"/>
      <c r="K1" s="102"/>
      <c r="L1" s="102"/>
      <c r="M1" s="102"/>
      <c r="N1" s="81"/>
      <c r="O1" s="81"/>
      <c r="P1" s="81"/>
    </row>
    <row r="2" spans="1:16" ht="15.75" thickBot="1" x14ac:dyDescent="0.3">
      <c r="P2" s="41"/>
    </row>
    <row r="3" spans="1:16" ht="17.399999999999999" x14ac:dyDescent="0.3">
      <c r="A3" s="103" t="s">
        <v>44</v>
      </c>
      <c r="B3" s="104"/>
      <c r="C3" s="105" t="s">
        <v>45</v>
      </c>
      <c r="D3" s="103" t="s">
        <v>46</v>
      </c>
      <c r="E3" s="106" t="s">
        <v>2598</v>
      </c>
      <c r="F3" s="106" t="s">
        <v>1746</v>
      </c>
      <c r="G3" s="100" t="s">
        <v>118</v>
      </c>
      <c r="H3" s="100" t="s">
        <v>52</v>
      </c>
      <c r="I3" s="100" t="s">
        <v>53</v>
      </c>
      <c r="J3" s="100" t="s">
        <v>49</v>
      </c>
      <c r="K3" s="100" t="s">
        <v>50</v>
      </c>
      <c r="L3" s="100" t="s">
        <v>121</v>
      </c>
      <c r="M3" s="100" t="s">
        <v>1118</v>
      </c>
      <c r="N3" s="98" t="s">
        <v>119</v>
      </c>
      <c r="O3" s="100" t="s">
        <v>51</v>
      </c>
      <c r="P3" s="100" t="s">
        <v>120</v>
      </c>
    </row>
    <row r="4" spans="1:16" ht="49.5" customHeight="1" x14ac:dyDescent="0.3">
      <c r="A4" s="70" t="s">
        <v>47</v>
      </c>
      <c r="B4" s="70" t="s">
        <v>48</v>
      </c>
      <c r="C4" s="105"/>
      <c r="D4" s="103"/>
      <c r="E4" s="107"/>
      <c r="F4" s="107"/>
      <c r="G4" s="101"/>
      <c r="H4" s="101"/>
      <c r="I4" s="101"/>
      <c r="J4" s="101"/>
      <c r="K4" s="101"/>
      <c r="L4" s="101"/>
      <c r="M4" s="101"/>
      <c r="N4" s="99"/>
      <c r="O4" s="101"/>
      <c r="P4" s="101"/>
    </row>
    <row r="5" spans="1:16" s="75" customFormat="1" ht="15.75" hidden="1" x14ac:dyDescent="0.25">
      <c r="A5" s="72" t="s">
        <v>1742</v>
      </c>
      <c r="B5" s="72" t="s">
        <v>1126</v>
      </c>
      <c r="C5" s="73" t="s">
        <v>1161</v>
      </c>
      <c r="D5" s="74"/>
      <c r="E5" s="71" t="s">
        <v>1162</v>
      </c>
      <c r="F5" s="76"/>
      <c r="G5" s="71">
        <f t="shared" ref="G5:L5" si="0">G6+G7+G14+G42</f>
        <v>1590.357</v>
      </c>
      <c r="H5" s="71">
        <f t="shared" si="0"/>
        <v>14.800000000000002</v>
      </c>
      <c r="I5" s="71">
        <f t="shared" si="0"/>
        <v>1605.1569999999999</v>
      </c>
      <c r="J5" s="71">
        <f t="shared" si="0"/>
        <v>2172849.0880000005</v>
      </c>
      <c r="K5" s="71">
        <f t="shared" si="0"/>
        <v>0</v>
      </c>
      <c r="L5" s="71">
        <f t="shared" si="0"/>
        <v>2172849.0880000005</v>
      </c>
      <c r="M5" s="71">
        <f>L5/I5</f>
        <v>1353.6676399878645</v>
      </c>
      <c r="N5" s="71" t="e">
        <f>M5/$M$1429</f>
        <v>#REF!</v>
      </c>
      <c r="O5" s="71" t="e">
        <f>O6+O7+O14+O42</f>
        <v>#REF!</v>
      </c>
      <c r="P5" s="71" t="e">
        <f>P6+P7+P14+P42</f>
        <v>#REF!</v>
      </c>
    </row>
    <row r="6" spans="1:16" ht="15.75" hidden="1" x14ac:dyDescent="0.25">
      <c r="A6" s="14" t="s">
        <v>1742</v>
      </c>
      <c r="B6" s="14" t="s">
        <v>1126</v>
      </c>
      <c r="C6" s="8" t="s">
        <v>1159</v>
      </c>
      <c r="D6" s="28" t="s">
        <v>1809</v>
      </c>
      <c r="E6" s="12" t="s">
        <v>1160</v>
      </c>
      <c r="F6" s="1"/>
      <c r="G6" s="1">
        <v>0</v>
      </c>
      <c r="H6" s="1">
        <v>0</v>
      </c>
      <c r="I6" s="12">
        <f>H6+G6</f>
        <v>0</v>
      </c>
      <c r="J6" s="12"/>
      <c r="K6" s="12"/>
      <c r="L6" s="12"/>
      <c r="M6" s="12"/>
      <c r="N6" s="12"/>
      <c r="O6" s="12"/>
      <c r="P6" s="12"/>
    </row>
    <row r="7" spans="1:16" ht="15.75" hidden="1" x14ac:dyDescent="0.25">
      <c r="A7" s="15" t="s">
        <v>1810</v>
      </c>
      <c r="B7" s="15" t="s">
        <v>1126</v>
      </c>
      <c r="C7" s="10" t="s">
        <v>1127</v>
      </c>
      <c r="D7" s="29"/>
      <c r="E7" s="37" t="s">
        <v>1128</v>
      </c>
      <c r="F7" s="6"/>
      <c r="G7" s="37">
        <f t="shared" ref="G7:L7" si="1">SUM(G8:G13)</f>
        <v>515.70299999999997</v>
      </c>
      <c r="H7" s="37">
        <f>SUM(H8:H13)</f>
        <v>7.8559999999999999</v>
      </c>
      <c r="I7" s="37">
        <f t="shared" si="1"/>
        <v>523.55899999999997</v>
      </c>
      <c r="J7" s="37">
        <f t="shared" si="1"/>
        <v>1070402.3640000003</v>
      </c>
      <c r="K7" s="37">
        <f t="shared" si="1"/>
        <v>0</v>
      </c>
      <c r="L7" s="37">
        <f t="shared" si="1"/>
        <v>1070402.3640000003</v>
      </c>
      <c r="M7" s="37">
        <f t="shared" ref="M7:M43" si="2">L7/I7</f>
        <v>2044.4732379731804</v>
      </c>
      <c r="N7" s="37" t="e">
        <f>M7/$M$1429</f>
        <v>#REF!</v>
      </c>
      <c r="O7" s="37" t="e">
        <f>SUM(O8:O13)</f>
        <v>#REF!</v>
      </c>
      <c r="P7" s="37" t="e">
        <f>SUM(P8:P13)</f>
        <v>#REF!</v>
      </c>
    </row>
    <row r="8" spans="1:16" ht="15.75" hidden="1" x14ac:dyDescent="0.25">
      <c r="A8" s="14" t="s">
        <v>1810</v>
      </c>
      <c r="B8" s="14">
        <v>1</v>
      </c>
      <c r="C8" s="8" t="s">
        <v>1119</v>
      </c>
      <c r="D8" s="28" t="s">
        <v>1812</v>
      </c>
      <c r="E8" s="12" t="s">
        <v>1120</v>
      </c>
      <c r="F8" s="1"/>
      <c r="G8" s="1">
        <v>372.67200000000003</v>
      </c>
      <c r="H8" s="1">
        <v>6.8419999999999996</v>
      </c>
      <c r="I8" s="12">
        <f t="shared" ref="I8:I13" si="3">H8+G8</f>
        <v>379.51400000000001</v>
      </c>
      <c r="J8" s="12">
        <v>769532.375</v>
      </c>
      <c r="K8" s="12"/>
      <c r="L8" s="12">
        <f t="shared" ref="L8:L13" si="4">J8+K8</f>
        <v>769532.375</v>
      </c>
      <c r="M8" s="12">
        <f t="shared" si="2"/>
        <v>2027.678491439051</v>
      </c>
      <c r="N8" s="12" t="e">
        <f t="shared" ref="N8:N13" si="5">M8/$M$1431</f>
        <v>#REF!</v>
      </c>
      <c r="O8" s="12" t="e">
        <f t="shared" ref="O8:O13" si="6">ROUND(IF(N8&lt;110%,0,(M8-$M$1431*1.1)*0.8)*I8,1)</f>
        <v>#REF!</v>
      </c>
      <c r="P8" s="12" t="e">
        <f t="shared" ref="P8:P13" si="7">ROUND(IF(N8&gt;90%,0,(-M8+$M$1431*0.9)*0.8)*I8,1)</f>
        <v>#REF!</v>
      </c>
    </row>
    <row r="9" spans="1:16" ht="15.75" hidden="1" x14ac:dyDescent="0.25">
      <c r="A9" s="14" t="s">
        <v>1810</v>
      </c>
      <c r="B9" s="14">
        <v>2</v>
      </c>
      <c r="C9" s="8" t="s">
        <v>1119</v>
      </c>
      <c r="D9" s="28" t="s">
        <v>1813</v>
      </c>
      <c r="E9" s="12" t="s">
        <v>1121</v>
      </c>
      <c r="F9" s="1"/>
      <c r="G9" s="1">
        <v>34.698</v>
      </c>
      <c r="H9" s="1">
        <v>0.24399999999999999</v>
      </c>
      <c r="I9" s="12">
        <f t="shared" si="3"/>
        <v>34.942</v>
      </c>
      <c r="J9" s="12">
        <v>83059.445000000007</v>
      </c>
      <c r="K9" s="12"/>
      <c r="L9" s="12">
        <f t="shared" si="4"/>
        <v>83059.445000000007</v>
      </c>
      <c r="M9" s="12">
        <f t="shared" si="2"/>
        <v>2377.0661381718278</v>
      </c>
      <c r="N9" s="12" t="e">
        <f t="shared" si="5"/>
        <v>#REF!</v>
      </c>
      <c r="O9" s="12" t="e">
        <f t="shared" si="6"/>
        <v>#REF!</v>
      </c>
      <c r="P9" s="12" t="e">
        <f t="shared" si="7"/>
        <v>#REF!</v>
      </c>
    </row>
    <row r="10" spans="1:16" ht="15.75" hidden="1" x14ac:dyDescent="0.25">
      <c r="A10" s="14" t="s">
        <v>1810</v>
      </c>
      <c r="B10" s="14">
        <v>3</v>
      </c>
      <c r="C10" s="8" t="s">
        <v>1119</v>
      </c>
      <c r="D10" s="28" t="s">
        <v>1814</v>
      </c>
      <c r="E10" s="12" t="s">
        <v>1122</v>
      </c>
      <c r="F10" s="1"/>
      <c r="G10" s="1">
        <v>24.898</v>
      </c>
      <c r="H10" s="1">
        <v>0.27100000000000002</v>
      </c>
      <c r="I10" s="12">
        <f t="shared" si="3"/>
        <v>25.169</v>
      </c>
      <c r="J10" s="12">
        <v>78469.479000000007</v>
      </c>
      <c r="K10" s="12"/>
      <c r="L10" s="12">
        <f t="shared" si="4"/>
        <v>78469.479000000007</v>
      </c>
      <c r="M10" s="12">
        <f t="shared" si="2"/>
        <v>3117.7034844451509</v>
      </c>
      <c r="N10" s="12" t="e">
        <f t="shared" si="5"/>
        <v>#REF!</v>
      </c>
      <c r="O10" s="12" t="e">
        <f t="shared" si="6"/>
        <v>#REF!</v>
      </c>
      <c r="P10" s="12" t="e">
        <f t="shared" si="7"/>
        <v>#REF!</v>
      </c>
    </row>
    <row r="11" spans="1:16" ht="15.75" hidden="1" x14ac:dyDescent="0.25">
      <c r="A11" s="14" t="s">
        <v>1810</v>
      </c>
      <c r="B11" s="14">
        <v>4</v>
      </c>
      <c r="C11" s="8" t="s">
        <v>1119</v>
      </c>
      <c r="D11" s="28" t="s">
        <v>1815</v>
      </c>
      <c r="E11" s="12" t="s">
        <v>1123</v>
      </c>
      <c r="F11" s="1"/>
      <c r="G11" s="1">
        <v>23.887</v>
      </c>
      <c r="H11" s="1">
        <v>0.23499999999999999</v>
      </c>
      <c r="I11" s="12">
        <f t="shared" si="3"/>
        <v>24.122</v>
      </c>
      <c r="J11" s="12">
        <v>74367.876000000004</v>
      </c>
      <c r="K11" s="12"/>
      <c r="L11" s="12">
        <f t="shared" si="4"/>
        <v>74367.876000000004</v>
      </c>
      <c r="M11" s="12">
        <f t="shared" si="2"/>
        <v>3082.9896360169141</v>
      </c>
      <c r="N11" s="12" t="e">
        <f t="shared" si="5"/>
        <v>#REF!</v>
      </c>
      <c r="O11" s="12" t="e">
        <f t="shared" si="6"/>
        <v>#REF!</v>
      </c>
      <c r="P11" s="12" t="e">
        <f t="shared" si="7"/>
        <v>#REF!</v>
      </c>
    </row>
    <row r="12" spans="1:16" ht="15.75" hidden="1" x14ac:dyDescent="0.25">
      <c r="A12" s="14" t="s">
        <v>1810</v>
      </c>
      <c r="B12" s="14">
        <v>5</v>
      </c>
      <c r="C12" s="8" t="s">
        <v>1119</v>
      </c>
      <c r="D12" s="28" t="s">
        <v>1816</v>
      </c>
      <c r="E12" s="12" t="s">
        <v>1124</v>
      </c>
      <c r="F12" s="1"/>
      <c r="G12" s="1">
        <v>31.428000000000001</v>
      </c>
      <c r="H12" s="1">
        <v>8.5999999999999993E-2</v>
      </c>
      <c r="I12" s="12">
        <f t="shared" si="3"/>
        <v>31.513999999999999</v>
      </c>
      <c r="J12" s="12">
        <v>33437.953999999998</v>
      </c>
      <c r="K12" s="12"/>
      <c r="L12" s="12">
        <f t="shared" si="4"/>
        <v>33437.953999999998</v>
      </c>
      <c r="M12" s="12">
        <f t="shared" si="2"/>
        <v>1061.0507710858665</v>
      </c>
      <c r="N12" s="12" t="e">
        <f t="shared" si="5"/>
        <v>#REF!</v>
      </c>
      <c r="O12" s="12" t="e">
        <f t="shared" si="6"/>
        <v>#REF!</v>
      </c>
      <c r="P12" s="12" t="e">
        <f t="shared" si="7"/>
        <v>#REF!</v>
      </c>
    </row>
    <row r="13" spans="1:16" ht="15.75" hidden="1" x14ac:dyDescent="0.25">
      <c r="A13" s="14" t="s">
        <v>1810</v>
      </c>
      <c r="B13" s="14">
        <v>6</v>
      </c>
      <c r="C13" s="8" t="s">
        <v>1119</v>
      </c>
      <c r="D13" s="28" t="s">
        <v>1817</v>
      </c>
      <c r="E13" s="12" t="s">
        <v>1125</v>
      </c>
      <c r="F13" s="1"/>
      <c r="G13" s="1">
        <v>28.12</v>
      </c>
      <c r="H13" s="1">
        <v>0.17799999999999999</v>
      </c>
      <c r="I13" s="12">
        <f t="shared" si="3"/>
        <v>28.298000000000002</v>
      </c>
      <c r="J13" s="12">
        <v>31535.235000000001</v>
      </c>
      <c r="K13" s="12"/>
      <c r="L13" s="12">
        <f t="shared" si="4"/>
        <v>31535.235000000001</v>
      </c>
      <c r="M13" s="12">
        <f t="shared" si="2"/>
        <v>1114.3980139939217</v>
      </c>
      <c r="N13" s="12" t="e">
        <f t="shared" si="5"/>
        <v>#REF!</v>
      </c>
      <c r="O13" s="12" t="e">
        <f t="shared" si="6"/>
        <v>#REF!</v>
      </c>
      <c r="P13" s="12" t="e">
        <f t="shared" si="7"/>
        <v>#REF!</v>
      </c>
    </row>
    <row r="14" spans="1:16" ht="15.75" hidden="1" x14ac:dyDescent="0.25">
      <c r="A14" s="15" t="s">
        <v>1810</v>
      </c>
      <c r="B14" s="15" t="s">
        <v>1126</v>
      </c>
      <c r="C14" s="10" t="s">
        <v>1157</v>
      </c>
      <c r="D14" s="29"/>
      <c r="E14" s="37" t="s">
        <v>1158</v>
      </c>
      <c r="F14" s="6"/>
      <c r="G14" s="37">
        <f t="shared" ref="G14:L14" si="8">SUM(G15:G41)</f>
        <v>831.95499999999993</v>
      </c>
      <c r="H14" s="37">
        <f>SUM(H15:H41)</f>
        <v>5.5820000000000016</v>
      </c>
      <c r="I14" s="37">
        <f t="shared" si="8"/>
        <v>837.53700000000003</v>
      </c>
      <c r="J14" s="37">
        <f t="shared" si="8"/>
        <v>792294.96000000008</v>
      </c>
      <c r="K14" s="37">
        <f t="shared" si="8"/>
        <v>0</v>
      </c>
      <c r="L14" s="37">
        <f t="shared" si="8"/>
        <v>792294.96000000008</v>
      </c>
      <c r="M14" s="37">
        <f t="shared" si="2"/>
        <v>945.98204019643322</v>
      </c>
      <c r="N14" s="37" t="e">
        <f>M14/$M$1429</f>
        <v>#REF!</v>
      </c>
      <c r="O14" s="37" t="e">
        <f>SUM(O15:O41)</f>
        <v>#REF!</v>
      </c>
      <c r="P14" s="37" t="e">
        <f>SUM(P15:P41)</f>
        <v>#REF!</v>
      </c>
    </row>
    <row r="15" spans="1:16" ht="15.75" hidden="1" x14ac:dyDescent="0.25">
      <c r="A15" s="14" t="s">
        <v>1810</v>
      </c>
      <c r="B15" s="14">
        <v>7</v>
      </c>
      <c r="C15" s="8" t="s">
        <v>1129</v>
      </c>
      <c r="D15" s="28" t="s">
        <v>1819</v>
      </c>
      <c r="E15" s="12" t="s">
        <v>1130</v>
      </c>
      <c r="F15" s="1"/>
      <c r="G15" s="1">
        <v>35.185000000000002</v>
      </c>
      <c r="H15" s="1">
        <v>0.13900000000000001</v>
      </c>
      <c r="I15" s="12">
        <f t="shared" ref="I15:I41" si="9">H15+G15</f>
        <v>35.324000000000005</v>
      </c>
      <c r="J15" s="12">
        <v>26102.629000000001</v>
      </c>
      <c r="K15" s="12"/>
      <c r="L15" s="12">
        <f t="shared" ref="L15:L41" si="10">J15+K15</f>
        <v>26102.629000000001</v>
      </c>
      <c r="M15" s="12">
        <f t="shared" si="2"/>
        <v>738.94884497791861</v>
      </c>
      <c r="N15" s="12" t="e">
        <f t="shared" ref="N15:N41" si="11">M15/$M$1432</f>
        <v>#REF!</v>
      </c>
      <c r="O15" s="12" t="e">
        <f t="shared" ref="O15:O41" si="12">ROUND(IF(N15&lt;110%,0,(M15-$M$1432*1.1)*0.8)*I15,1)</f>
        <v>#REF!</v>
      </c>
      <c r="P15" s="12" t="e">
        <f t="shared" ref="P15:P41" si="13">ROUND(IF(N15&gt;90%,0,(-M15+$M$1432*0.9)*0.8)*I15,1)</f>
        <v>#REF!</v>
      </c>
    </row>
    <row r="16" spans="1:16" ht="15.75" hidden="1" x14ac:dyDescent="0.25">
      <c r="A16" s="14" t="s">
        <v>1810</v>
      </c>
      <c r="B16" s="14">
        <v>8</v>
      </c>
      <c r="C16" s="8" t="s">
        <v>1129</v>
      </c>
      <c r="D16" s="28" t="s">
        <v>1821</v>
      </c>
      <c r="E16" s="12" t="s">
        <v>1131</v>
      </c>
      <c r="F16" s="1"/>
      <c r="G16" s="1">
        <v>50.993000000000002</v>
      </c>
      <c r="H16" s="1">
        <v>0.33900000000000002</v>
      </c>
      <c r="I16" s="12">
        <f t="shared" si="9"/>
        <v>51.332000000000001</v>
      </c>
      <c r="J16" s="12">
        <f>45738.286-1566.653</f>
        <v>44171.633000000002</v>
      </c>
      <c r="K16" s="12"/>
      <c r="L16" s="12">
        <f t="shared" si="10"/>
        <v>44171.633000000002</v>
      </c>
      <c r="M16" s="12">
        <f t="shared" si="2"/>
        <v>860.50870801839005</v>
      </c>
      <c r="N16" s="12" t="e">
        <f t="shared" si="11"/>
        <v>#REF!</v>
      </c>
      <c r="O16" s="12" t="e">
        <f t="shared" si="12"/>
        <v>#REF!</v>
      </c>
      <c r="P16" s="12" t="e">
        <f t="shared" si="13"/>
        <v>#REF!</v>
      </c>
    </row>
    <row r="17" spans="1:16" ht="15.75" hidden="1" x14ac:dyDescent="0.25">
      <c r="A17" s="14" t="s">
        <v>1810</v>
      </c>
      <c r="B17" s="14">
        <v>9</v>
      </c>
      <c r="C17" s="8" t="s">
        <v>1129</v>
      </c>
      <c r="D17" s="28" t="s">
        <v>1823</v>
      </c>
      <c r="E17" s="12" t="s">
        <v>1132</v>
      </c>
      <c r="F17" s="1"/>
      <c r="G17" s="1">
        <v>54.023000000000003</v>
      </c>
      <c r="H17" s="1">
        <v>0.48499999999999999</v>
      </c>
      <c r="I17" s="12">
        <f t="shared" si="9"/>
        <v>54.508000000000003</v>
      </c>
      <c r="J17" s="12">
        <f>72797.95-7911.226-15575.871</f>
        <v>49310.852999999996</v>
      </c>
      <c r="K17" s="12"/>
      <c r="L17" s="12">
        <f t="shared" si="10"/>
        <v>49310.852999999996</v>
      </c>
      <c r="M17" s="12">
        <f t="shared" si="2"/>
        <v>904.65350040361034</v>
      </c>
      <c r="N17" s="12" t="e">
        <f t="shared" si="11"/>
        <v>#REF!</v>
      </c>
      <c r="O17" s="12" t="e">
        <f t="shared" si="12"/>
        <v>#REF!</v>
      </c>
      <c r="P17" s="12" t="e">
        <f t="shared" si="13"/>
        <v>#REF!</v>
      </c>
    </row>
    <row r="18" spans="1:16" ht="15.75" hidden="1" x14ac:dyDescent="0.25">
      <c r="A18" s="14" t="s">
        <v>1810</v>
      </c>
      <c r="B18" s="14">
        <v>10</v>
      </c>
      <c r="C18" s="8" t="s">
        <v>1129</v>
      </c>
      <c r="D18" s="28" t="s">
        <v>1825</v>
      </c>
      <c r="E18" s="12" t="s">
        <v>1133</v>
      </c>
      <c r="F18" s="1"/>
      <c r="G18" s="1">
        <v>49.368000000000002</v>
      </c>
      <c r="H18" s="1">
        <v>0.52</v>
      </c>
      <c r="I18" s="12">
        <f t="shared" si="9"/>
        <v>49.888000000000005</v>
      </c>
      <c r="J18" s="12">
        <f>101799.069-5086.963-8905.132</f>
        <v>87806.974000000002</v>
      </c>
      <c r="K18" s="12"/>
      <c r="L18" s="12">
        <f t="shared" si="10"/>
        <v>87806.974000000002</v>
      </c>
      <c r="M18" s="12">
        <f t="shared" si="2"/>
        <v>1760.0820638229634</v>
      </c>
      <c r="N18" s="12" t="e">
        <f t="shared" si="11"/>
        <v>#REF!</v>
      </c>
      <c r="O18" s="12" t="e">
        <f t="shared" si="12"/>
        <v>#REF!</v>
      </c>
      <c r="P18" s="12" t="e">
        <f t="shared" si="13"/>
        <v>#REF!</v>
      </c>
    </row>
    <row r="19" spans="1:16" ht="15.75" hidden="1" x14ac:dyDescent="0.25">
      <c r="A19" s="14" t="s">
        <v>1810</v>
      </c>
      <c r="B19" s="14">
        <v>11</v>
      </c>
      <c r="C19" s="8" t="s">
        <v>1129</v>
      </c>
      <c r="D19" s="28" t="s">
        <v>1827</v>
      </c>
      <c r="E19" s="12" t="s">
        <v>1134</v>
      </c>
      <c r="F19" s="1"/>
      <c r="G19" s="1">
        <v>28.672999999999998</v>
      </c>
      <c r="H19" s="1">
        <v>0.14299999999999999</v>
      </c>
      <c r="I19" s="12">
        <f t="shared" si="9"/>
        <v>28.815999999999999</v>
      </c>
      <c r="J19" s="12">
        <f>21964.96-1074.785</f>
        <v>20890.174999999999</v>
      </c>
      <c r="K19" s="12"/>
      <c r="L19" s="12">
        <f t="shared" si="10"/>
        <v>20890.174999999999</v>
      </c>
      <c r="M19" s="12">
        <f t="shared" si="2"/>
        <v>724.95054830649644</v>
      </c>
      <c r="N19" s="12" t="e">
        <f t="shared" si="11"/>
        <v>#REF!</v>
      </c>
      <c r="O19" s="12" t="e">
        <f t="shared" si="12"/>
        <v>#REF!</v>
      </c>
      <c r="P19" s="12" t="e">
        <f t="shared" si="13"/>
        <v>#REF!</v>
      </c>
    </row>
    <row r="20" spans="1:16" ht="15.75" hidden="1" x14ac:dyDescent="0.25">
      <c r="A20" s="14" t="s">
        <v>1810</v>
      </c>
      <c r="B20" s="14">
        <v>12</v>
      </c>
      <c r="C20" s="8" t="s">
        <v>1129</v>
      </c>
      <c r="D20" s="28" t="s">
        <v>1828</v>
      </c>
      <c r="E20" s="12" t="s">
        <v>1135</v>
      </c>
      <c r="F20" s="1"/>
      <c r="G20" s="1">
        <v>10.848000000000001</v>
      </c>
      <c r="H20" s="1">
        <v>0.13600000000000001</v>
      </c>
      <c r="I20" s="12">
        <f t="shared" si="9"/>
        <v>10.984</v>
      </c>
      <c r="J20" s="12">
        <f>51339.65-36898.038-6261.807</f>
        <v>8179.8050000000012</v>
      </c>
      <c r="K20" s="12"/>
      <c r="L20" s="12">
        <f t="shared" si="10"/>
        <v>8179.8050000000012</v>
      </c>
      <c r="M20" s="12">
        <f t="shared" si="2"/>
        <v>744.70183903860175</v>
      </c>
      <c r="N20" s="12" t="e">
        <f t="shared" si="11"/>
        <v>#REF!</v>
      </c>
      <c r="O20" s="12" t="e">
        <f t="shared" si="12"/>
        <v>#REF!</v>
      </c>
      <c r="P20" s="12" t="e">
        <f t="shared" si="13"/>
        <v>#REF!</v>
      </c>
    </row>
    <row r="21" spans="1:16" ht="15.75" hidden="1" x14ac:dyDescent="0.25">
      <c r="A21" s="14" t="s">
        <v>1810</v>
      </c>
      <c r="B21" s="14">
        <v>13</v>
      </c>
      <c r="C21" s="8" t="s">
        <v>1129</v>
      </c>
      <c r="D21" s="28" t="s">
        <v>1829</v>
      </c>
      <c r="E21" s="12" t="s">
        <v>1136</v>
      </c>
      <c r="F21" s="1"/>
      <c r="G21" s="1">
        <v>28.686</v>
      </c>
      <c r="H21" s="1">
        <v>9.7000000000000003E-2</v>
      </c>
      <c r="I21" s="12">
        <f t="shared" si="9"/>
        <v>28.783000000000001</v>
      </c>
      <c r="J21" s="12">
        <f>31665.8-3698.278-1484.514</f>
        <v>26483.008000000002</v>
      </c>
      <c r="K21" s="12"/>
      <c r="L21" s="12">
        <f t="shared" si="10"/>
        <v>26483.008000000002</v>
      </c>
      <c r="M21" s="12">
        <f t="shared" si="2"/>
        <v>920.09199874926173</v>
      </c>
      <c r="N21" s="12" t="e">
        <f t="shared" si="11"/>
        <v>#REF!</v>
      </c>
      <c r="O21" s="12" t="e">
        <f t="shared" si="12"/>
        <v>#REF!</v>
      </c>
      <c r="P21" s="12" t="e">
        <f t="shared" si="13"/>
        <v>#REF!</v>
      </c>
    </row>
    <row r="22" spans="1:16" ht="15.75" hidden="1" x14ac:dyDescent="0.25">
      <c r="A22" s="14" t="s">
        <v>1810</v>
      </c>
      <c r="B22" s="14">
        <v>14</v>
      </c>
      <c r="C22" s="8" t="s">
        <v>1129</v>
      </c>
      <c r="D22" s="28" t="s">
        <v>1830</v>
      </c>
      <c r="E22" s="12" t="s">
        <v>1137</v>
      </c>
      <c r="F22" s="1"/>
      <c r="G22" s="1">
        <v>34.896999999999998</v>
      </c>
      <c r="H22" s="1">
        <v>0.157</v>
      </c>
      <c r="I22" s="12">
        <f t="shared" si="9"/>
        <v>35.053999999999995</v>
      </c>
      <c r="J22" s="12">
        <f>40105.919-6944.968</f>
        <v>33160.951000000001</v>
      </c>
      <c r="K22" s="12"/>
      <c r="L22" s="12">
        <f t="shared" si="10"/>
        <v>33160.951000000001</v>
      </c>
      <c r="M22" s="12">
        <f t="shared" si="2"/>
        <v>945.9962058538257</v>
      </c>
      <c r="N22" s="12" t="e">
        <f t="shared" si="11"/>
        <v>#REF!</v>
      </c>
      <c r="O22" s="12" t="e">
        <f t="shared" si="12"/>
        <v>#REF!</v>
      </c>
      <c r="P22" s="12" t="e">
        <f t="shared" si="13"/>
        <v>#REF!</v>
      </c>
    </row>
    <row r="23" spans="1:16" ht="15.75" hidden="1" x14ac:dyDescent="0.25">
      <c r="A23" s="14" t="s">
        <v>1810</v>
      </c>
      <c r="B23" s="14">
        <v>15</v>
      </c>
      <c r="C23" s="8" t="s">
        <v>1129</v>
      </c>
      <c r="D23" s="28" t="s">
        <v>1831</v>
      </c>
      <c r="E23" s="12" t="s">
        <v>1138</v>
      </c>
      <c r="F23" s="1"/>
      <c r="G23" s="1">
        <v>33.411999999999999</v>
      </c>
      <c r="H23" s="1">
        <v>0.21199999999999999</v>
      </c>
      <c r="I23" s="12">
        <f t="shared" si="9"/>
        <v>33.624000000000002</v>
      </c>
      <c r="J23" s="12">
        <v>47949.593999999997</v>
      </c>
      <c r="K23" s="12"/>
      <c r="L23" s="12">
        <f t="shared" si="10"/>
        <v>47949.593999999997</v>
      </c>
      <c r="M23" s="12">
        <f t="shared" si="2"/>
        <v>1426.052640970735</v>
      </c>
      <c r="N23" s="12" t="e">
        <f t="shared" si="11"/>
        <v>#REF!</v>
      </c>
      <c r="O23" s="12" t="e">
        <f t="shared" si="12"/>
        <v>#REF!</v>
      </c>
      <c r="P23" s="12" t="e">
        <f t="shared" si="13"/>
        <v>#REF!</v>
      </c>
    </row>
    <row r="24" spans="1:16" ht="15.75" hidden="1" x14ac:dyDescent="0.25">
      <c r="A24" s="14" t="s">
        <v>1810</v>
      </c>
      <c r="B24" s="14">
        <v>16</v>
      </c>
      <c r="C24" s="8" t="s">
        <v>1129</v>
      </c>
      <c r="D24" s="28" t="s">
        <v>1832</v>
      </c>
      <c r="E24" s="12" t="s">
        <v>1139</v>
      </c>
      <c r="F24" s="1"/>
      <c r="G24" s="1">
        <v>32.378</v>
      </c>
      <c r="H24" s="1">
        <v>0.224</v>
      </c>
      <c r="I24" s="12">
        <f t="shared" si="9"/>
        <v>32.601999999999997</v>
      </c>
      <c r="J24" s="12">
        <f>35439.526-1508.014-2713.721</f>
        <v>31217.790999999994</v>
      </c>
      <c r="K24" s="12"/>
      <c r="L24" s="12">
        <f t="shared" si="10"/>
        <v>31217.790999999994</v>
      </c>
      <c r="M24" s="12">
        <f t="shared" si="2"/>
        <v>957.54220599963185</v>
      </c>
      <c r="N24" s="12" t="e">
        <f t="shared" si="11"/>
        <v>#REF!</v>
      </c>
      <c r="O24" s="12" t="e">
        <f t="shared" si="12"/>
        <v>#REF!</v>
      </c>
      <c r="P24" s="12" t="e">
        <f t="shared" si="13"/>
        <v>#REF!</v>
      </c>
    </row>
    <row r="25" spans="1:16" ht="15.75" hidden="1" x14ac:dyDescent="0.25">
      <c r="A25" s="14" t="s">
        <v>1810</v>
      </c>
      <c r="B25" s="14">
        <v>17</v>
      </c>
      <c r="C25" s="8" t="s">
        <v>1129</v>
      </c>
      <c r="D25" s="28" t="s">
        <v>1833</v>
      </c>
      <c r="E25" s="12" t="s">
        <v>1140</v>
      </c>
      <c r="F25" s="1"/>
      <c r="G25" s="1">
        <v>35.369</v>
      </c>
      <c r="H25" s="1">
        <v>0.185</v>
      </c>
      <c r="I25" s="12">
        <f t="shared" si="9"/>
        <v>35.554000000000002</v>
      </c>
      <c r="J25" s="12">
        <v>29260.848999999998</v>
      </c>
      <c r="K25" s="12"/>
      <c r="L25" s="12">
        <f t="shared" si="10"/>
        <v>29260.848999999998</v>
      </c>
      <c r="M25" s="12">
        <f t="shared" si="2"/>
        <v>822.99738426056126</v>
      </c>
      <c r="N25" s="12" t="e">
        <f t="shared" si="11"/>
        <v>#REF!</v>
      </c>
      <c r="O25" s="12" t="e">
        <f t="shared" si="12"/>
        <v>#REF!</v>
      </c>
      <c r="P25" s="12" t="e">
        <f t="shared" si="13"/>
        <v>#REF!</v>
      </c>
    </row>
    <row r="26" spans="1:16" ht="15.75" hidden="1" x14ac:dyDescent="0.25">
      <c r="A26" s="14" t="s">
        <v>1810</v>
      </c>
      <c r="B26" s="14">
        <v>18</v>
      </c>
      <c r="C26" s="8" t="s">
        <v>1129</v>
      </c>
      <c r="D26" s="28" t="s">
        <v>1834</v>
      </c>
      <c r="E26" s="12" t="s">
        <v>1141</v>
      </c>
      <c r="F26" s="1"/>
      <c r="G26" s="1">
        <v>32.982999999999997</v>
      </c>
      <c r="H26" s="1">
        <v>0.17399999999999999</v>
      </c>
      <c r="I26" s="12">
        <f t="shared" si="9"/>
        <v>33.156999999999996</v>
      </c>
      <c r="J26" s="12">
        <v>19355.329000000002</v>
      </c>
      <c r="K26" s="12"/>
      <c r="L26" s="12">
        <f t="shared" si="10"/>
        <v>19355.329000000002</v>
      </c>
      <c r="M26" s="12">
        <f t="shared" si="2"/>
        <v>583.74789637180697</v>
      </c>
      <c r="N26" s="12" t="e">
        <f t="shared" si="11"/>
        <v>#REF!</v>
      </c>
      <c r="O26" s="12" t="e">
        <f t="shared" si="12"/>
        <v>#REF!</v>
      </c>
      <c r="P26" s="12" t="e">
        <f t="shared" si="13"/>
        <v>#REF!</v>
      </c>
    </row>
    <row r="27" spans="1:16" ht="15.75" hidden="1" x14ac:dyDescent="0.25">
      <c r="A27" s="14" t="s">
        <v>1810</v>
      </c>
      <c r="B27" s="14">
        <v>19</v>
      </c>
      <c r="C27" s="8" t="s">
        <v>1129</v>
      </c>
      <c r="D27" s="28" t="s">
        <v>1835</v>
      </c>
      <c r="E27" s="12" t="s">
        <v>1142</v>
      </c>
      <c r="F27" s="1"/>
      <c r="G27" s="1">
        <v>25.347000000000001</v>
      </c>
      <c r="H27" s="1">
        <v>0.224</v>
      </c>
      <c r="I27" s="12">
        <f t="shared" si="9"/>
        <v>25.571000000000002</v>
      </c>
      <c r="J27" s="12">
        <v>21763.503000000001</v>
      </c>
      <c r="K27" s="12"/>
      <c r="L27" s="12">
        <f t="shared" si="10"/>
        <v>21763.503000000001</v>
      </c>
      <c r="M27" s="12">
        <f t="shared" si="2"/>
        <v>851.10097375933674</v>
      </c>
      <c r="N27" s="12" t="e">
        <f t="shared" si="11"/>
        <v>#REF!</v>
      </c>
      <c r="O27" s="12" t="e">
        <f t="shared" si="12"/>
        <v>#REF!</v>
      </c>
      <c r="P27" s="12" t="e">
        <f t="shared" si="13"/>
        <v>#REF!</v>
      </c>
    </row>
    <row r="28" spans="1:16" ht="15.75" hidden="1" x14ac:dyDescent="0.25">
      <c r="A28" s="14" t="s">
        <v>1810</v>
      </c>
      <c r="B28" s="14">
        <v>20</v>
      </c>
      <c r="C28" s="8" t="s">
        <v>1129</v>
      </c>
      <c r="D28" s="28" t="s">
        <v>1836</v>
      </c>
      <c r="E28" s="12" t="s">
        <v>1143</v>
      </c>
      <c r="F28" s="1"/>
      <c r="G28" s="1">
        <v>15.257</v>
      </c>
      <c r="H28" s="1">
        <v>0.35699999999999998</v>
      </c>
      <c r="I28" s="12">
        <f t="shared" si="9"/>
        <v>15.613999999999999</v>
      </c>
      <c r="J28" s="12">
        <f>16557.083-3315.904</f>
        <v>13241.178999999998</v>
      </c>
      <c r="K28" s="12"/>
      <c r="L28" s="12">
        <f t="shared" si="10"/>
        <v>13241.178999999998</v>
      </c>
      <c r="M28" s="12">
        <f t="shared" si="2"/>
        <v>848.03247085948499</v>
      </c>
      <c r="N28" s="12" t="e">
        <f t="shared" si="11"/>
        <v>#REF!</v>
      </c>
      <c r="O28" s="12" t="e">
        <f t="shared" si="12"/>
        <v>#REF!</v>
      </c>
      <c r="P28" s="12" t="e">
        <f t="shared" si="13"/>
        <v>#REF!</v>
      </c>
    </row>
    <row r="29" spans="1:16" ht="15.75" hidden="1" x14ac:dyDescent="0.25">
      <c r="A29" s="14" t="s">
        <v>1810</v>
      </c>
      <c r="B29" s="14">
        <v>21</v>
      </c>
      <c r="C29" s="8" t="s">
        <v>1129</v>
      </c>
      <c r="D29" s="28" t="s">
        <v>1837</v>
      </c>
      <c r="E29" s="12" t="s">
        <v>1144</v>
      </c>
      <c r="F29" s="1"/>
      <c r="G29" s="1">
        <v>16.713000000000001</v>
      </c>
      <c r="H29" s="1">
        <v>0.17799999999999999</v>
      </c>
      <c r="I29" s="12">
        <f t="shared" si="9"/>
        <v>16.891000000000002</v>
      </c>
      <c r="J29" s="12">
        <f>18769.246-474.632</f>
        <v>18294.613999999998</v>
      </c>
      <c r="K29" s="12"/>
      <c r="L29" s="12">
        <f t="shared" si="10"/>
        <v>18294.613999999998</v>
      </c>
      <c r="M29" s="12">
        <f t="shared" si="2"/>
        <v>1083.0983363921612</v>
      </c>
      <c r="N29" s="12" t="e">
        <f t="shared" si="11"/>
        <v>#REF!</v>
      </c>
      <c r="O29" s="12" t="e">
        <f t="shared" si="12"/>
        <v>#REF!</v>
      </c>
      <c r="P29" s="12" t="e">
        <f t="shared" si="13"/>
        <v>#REF!</v>
      </c>
    </row>
    <row r="30" spans="1:16" ht="15.75" hidden="1" x14ac:dyDescent="0.25">
      <c r="A30" s="14" t="s">
        <v>1810</v>
      </c>
      <c r="B30" s="14">
        <v>22</v>
      </c>
      <c r="C30" s="8" t="s">
        <v>1129</v>
      </c>
      <c r="D30" s="28" t="s">
        <v>1838</v>
      </c>
      <c r="E30" s="12" t="s">
        <v>1145</v>
      </c>
      <c r="F30" s="1"/>
      <c r="G30" s="1">
        <v>17.497</v>
      </c>
      <c r="H30" s="1">
        <v>8.5999999999999993E-2</v>
      </c>
      <c r="I30" s="12">
        <f t="shared" si="9"/>
        <v>17.582999999999998</v>
      </c>
      <c r="J30" s="12">
        <v>15924.763999999999</v>
      </c>
      <c r="K30" s="12"/>
      <c r="L30" s="12">
        <f t="shared" si="10"/>
        <v>15924.763999999999</v>
      </c>
      <c r="M30" s="12">
        <f t="shared" si="2"/>
        <v>905.69095148723204</v>
      </c>
      <c r="N30" s="12" t="e">
        <f t="shared" si="11"/>
        <v>#REF!</v>
      </c>
      <c r="O30" s="12" t="e">
        <f t="shared" si="12"/>
        <v>#REF!</v>
      </c>
      <c r="P30" s="12" t="e">
        <f t="shared" si="13"/>
        <v>#REF!</v>
      </c>
    </row>
    <row r="31" spans="1:16" ht="15.75" hidden="1" x14ac:dyDescent="0.25">
      <c r="A31" s="14" t="s">
        <v>1810</v>
      </c>
      <c r="B31" s="14">
        <v>23</v>
      </c>
      <c r="C31" s="8" t="s">
        <v>1129</v>
      </c>
      <c r="D31" s="28" t="s">
        <v>1839</v>
      </c>
      <c r="E31" s="12" t="s">
        <v>1146</v>
      </c>
      <c r="F31" s="1"/>
      <c r="G31" s="1">
        <v>29.937000000000001</v>
      </c>
      <c r="H31" s="1">
        <v>0.252</v>
      </c>
      <c r="I31" s="12">
        <f t="shared" si="9"/>
        <v>30.189</v>
      </c>
      <c r="J31" s="12">
        <v>33242.158000000003</v>
      </c>
      <c r="K31" s="12"/>
      <c r="L31" s="12">
        <f t="shared" si="10"/>
        <v>33242.158000000003</v>
      </c>
      <c r="M31" s="12">
        <f t="shared" si="2"/>
        <v>1101.134784192918</v>
      </c>
      <c r="N31" s="12" t="e">
        <f t="shared" si="11"/>
        <v>#REF!</v>
      </c>
      <c r="O31" s="12" t="e">
        <f t="shared" si="12"/>
        <v>#REF!</v>
      </c>
      <c r="P31" s="12" t="e">
        <f t="shared" si="13"/>
        <v>#REF!</v>
      </c>
    </row>
    <row r="32" spans="1:16" ht="15.75" hidden="1" x14ac:dyDescent="0.25">
      <c r="A32" s="14" t="s">
        <v>1810</v>
      </c>
      <c r="B32" s="14">
        <v>24</v>
      </c>
      <c r="C32" s="8" t="s">
        <v>1129</v>
      </c>
      <c r="D32" s="28" t="s">
        <v>1840</v>
      </c>
      <c r="E32" s="12" t="s">
        <v>1147</v>
      </c>
      <c r="F32" s="1"/>
      <c r="G32" s="1">
        <v>26.849</v>
      </c>
      <c r="H32" s="1">
        <v>0.25600000000000001</v>
      </c>
      <c r="I32" s="12">
        <f t="shared" si="9"/>
        <v>27.105</v>
      </c>
      <c r="J32" s="12">
        <f>29661.206-2250.1</f>
        <v>27411.106</v>
      </c>
      <c r="K32" s="12"/>
      <c r="L32" s="12">
        <f t="shared" si="10"/>
        <v>27411.106</v>
      </c>
      <c r="M32" s="12">
        <f t="shared" si="2"/>
        <v>1011.2933407120457</v>
      </c>
      <c r="N32" s="12" t="e">
        <f t="shared" si="11"/>
        <v>#REF!</v>
      </c>
      <c r="O32" s="12" t="e">
        <f t="shared" si="12"/>
        <v>#REF!</v>
      </c>
      <c r="P32" s="12" t="e">
        <f t="shared" si="13"/>
        <v>#REF!</v>
      </c>
    </row>
    <row r="33" spans="1:16" ht="15.75" hidden="1" x14ac:dyDescent="0.25">
      <c r="A33" s="14" t="s">
        <v>1810</v>
      </c>
      <c r="B33" s="14">
        <v>25</v>
      </c>
      <c r="C33" s="8" t="s">
        <v>1129</v>
      </c>
      <c r="D33" s="28" t="s">
        <v>1841</v>
      </c>
      <c r="E33" s="12" t="s">
        <v>1148</v>
      </c>
      <c r="F33" s="1"/>
      <c r="G33" s="1">
        <v>28.039000000000001</v>
      </c>
      <c r="H33" s="1">
        <v>0.13500000000000001</v>
      </c>
      <c r="I33" s="12">
        <f t="shared" si="9"/>
        <v>28.174000000000003</v>
      </c>
      <c r="J33" s="12">
        <f>45371.484-249.097-10068.366</f>
        <v>35054.020999999993</v>
      </c>
      <c r="K33" s="12"/>
      <c r="L33" s="12">
        <f t="shared" si="10"/>
        <v>35054.020999999993</v>
      </c>
      <c r="M33" s="12">
        <f t="shared" si="2"/>
        <v>1244.1975225385104</v>
      </c>
      <c r="N33" s="12" t="e">
        <f t="shared" si="11"/>
        <v>#REF!</v>
      </c>
      <c r="O33" s="12" t="e">
        <f t="shared" si="12"/>
        <v>#REF!</v>
      </c>
      <c r="P33" s="12" t="e">
        <f t="shared" si="13"/>
        <v>#REF!</v>
      </c>
    </row>
    <row r="34" spans="1:16" ht="15.75" hidden="1" x14ac:dyDescent="0.25">
      <c r="A34" s="14" t="s">
        <v>1810</v>
      </c>
      <c r="B34" s="14">
        <v>26</v>
      </c>
      <c r="C34" s="8" t="s">
        <v>1129</v>
      </c>
      <c r="D34" s="28" t="s">
        <v>1842</v>
      </c>
      <c r="E34" s="12" t="s">
        <v>1149</v>
      </c>
      <c r="F34" s="1"/>
      <c r="G34" s="1">
        <v>17.54</v>
      </c>
      <c r="H34" s="1">
        <v>7.0000000000000007E-2</v>
      </c>
      <c r="I34" s="12">
        <f t="shared" si="9"/>
        <v>17.61</v>
      </c>
      <c r="J34" s="12">
        <v>14455.346</v>
      </c>
      <c r="K34" s="12"/>
      <c r="L34" s="12">
        <f t="shared" si="10"/>
        <v>14455.346</v>
      </c>
      <c r="M34" s="12">
        <f t="shared" si="2"/>
        <v>820.86007950028397</v>
      </c>
      <c r="N34" s="12" t="e">
        <f t="shared" si="11"/>
        <v>#REF!</v>
      </c>
      <c r="O34" s="12" t="e">
        <f t="shared" si="12"/>
        <v>#REF!</v>
      </c>
      <c r="P34" s="12" t="e">
        <f t="shared" si="13"/>
        <v>#REF!</v>
      </c>
    </row>
    <row r="35" spans="1:16" ht="15.75" hidden="1" x14ac:dyDescent="0.25">
      <c r="A35" s="14" t="s">
        <v>1810</v>
      </c>
      <c r="B35" s="14">
        <v>27</v>
      </c>
      <c r="C35" s="8" t="s">
        <v>1129</v>
      </c>
      <c r="D35" s="28" t="s">
        <v>1843</v>
      </c>
      <c r="E35" s="12" t="s">
        <v>1150</v>
      </c>
      <c r="F35" s="1"/>
      <c r="G35" s="1">
        <v>35.576999999999998</v>
      </c>
      <c r="H35" s="1">
        <v>0.22600000000000001</v>
      </c>
      <c r="I35" s="12">
        <f t="shared" si="9"/>
        <v>35.802999999999997</v>
      </c>
      <c r="J35" s="12">
        <v>40522.464</v>
      </c>
      <c r="K35" s="12"/>
      <c r="L35" s="12">
        <f t="shared" si="10"/>
        <v>40522.464</v>
      </c>
      <c r="M35" s="12">
        <f t="shared" si="2"/>
        <v>1131.8175571879453</v>
      </c>
      <c r="N35" s="12" t="e">
        <f t="shared" si="11"/>
        <v>#REF!</v>
      </c>
      <c r="O35" s="12" t="e">
        <f t="shared" si="12"/>
        <v>#REF!</v>
      </c>
      <c r="P35" s="12" t="e">
        <f t="shared" si="13"/>
        <v>#REF!</v>
      </c>
    </row>
    <row r="36" spans="1:16" ht="15.75" hidden="1" x14ac:dyDescent="0.25">
      <c r="A36" s="14" t="s">
        <v>1810</v>
      </c>
      <c r="B36" s="14">
        <v>28</v>
      </c>
      <c r="C36" s="8" t="s">
        <v>1129</v>
      </c>
      <c r="D36" s="28" t="s">
        <v>1844</v>
      </c>
      <c r="E36" s="12" t="s">
        <v>1151</v>
      </c>
      <c r="F36" s="1"/>
      <c r="G36" s="1">
        <v>29.864999999999998</v>
      </c>
      <c r="H36" s="1">
        <v>9.7000000000000003E-2</v>
      </c>
      <c r="I36" s="12">
        <f t="shared" si="9"/>
        <v>29.962</v>
      </c>
      <c r="J36" s="12">
        <v>18663.289000000001</v>
      </c>
      <c r="K36" s="12"/>
      <c r="L36" s="12">
        <f t="shared" si="10"/>
        <v>18663.289000000001</v>
      </c>
      <c r="M36" s="12">
        <f t="shared" si="2"/>
        <v>622.89863827514853</v>
      </c>
      <c r="N36" s="12" t="e">
        <f t="shared" si="11"/>
        <v>#REF!</v>
      </c>
      <c r="O36" s="12" t="e">
        <f t="shared" si="12"/>
        <v>#REF!</v>
      </c>
      <c r="P36" s="12" t="e">
        <f t="shared" si="13"/>
        <v>#REF!</v>
      </c>
    </row>
    <row r="37" spans="1:16" ht="15.75" hidden="1" x14ac:dyDescent="0.25">
      <c r="A37" s="14" t="s">
        <v>1810</v>
      </c>
      <c r="B37" s="14">
        <v>29</v>
      </c>
      <c r="C37" s="8" t="s">
        <v>1129</v>
      </c>
      <c r="D37" s="28" t="s">
        <v>1845</v>
      </c>
      <c r="E37" s="12" t="s">
        <v>1152</v>
      </c>
      <c r="F37" s="1"/>
      <c r="G37" s="1">
        <v>32.453000000000003</v>
      </c>
      <c r="H37" s="1">
        <v>0.248</v>
      </c>
      <c r="I37" s="12">
        <f t="shared" si="9"/>
        <v>32.701000000000001</v>
      </c>
      <c r="J37" s="12">
        <v>32088.553</v>
      </c>
      <c r="K37" s="12"/>
      <c r="L37" s="12">
        <f t="shared" si="10"/>
        <v>32088.553</v>
      </c>
      <c r="M37" s="12">
        <f t="shared" si="2"/>
        <v>981.2713066878689</v>
      </c>
      <c r="N37" s="12" t="e">
        <f t="shared" si="11"/>
        <v>#REF!</v>
      </c>
      <c r="O37" s="12" t="e">
        <f t="shared" si="12"/>
        <v>#REF!</v>
      </c>
      <c r="P37" s="12" t="e">
        <f t="shared" si="13"/>
        <v>#REF!</v>
      </c>
    </row>
    <row r="38" spans="1:16" ht="15.75" hidden="1" x14ac:dyDescent="0.25">
      <c r="A38" s="14" t="s">
        <v>1810</v>
      </c>
      <c r="B38" s="14">
        <v>30</v>
      </c>
      <c r="C38" s="8" t="s">
        <v>1129</v>
      </c>
      <c r="D38" s="28" t="s">
        <v>1846</v>
      </c>
      <c r="E38" s="12" t="s">
        <v>1153</v>
      </c>
      <c r="F38" s="1"/>
      <c r="G38" s="1">
        <v>18.254999999999999</v>
      </c>
      <c r="H38" s="1">
        <v>0.129</v>
      </c>
      <c r="I38" s="12">
        <f t="shared" si="9"/>
        <v>18.384</v>
      </c>
      <c r="J38" s="12">
        <v>13667.111000000001</v>
      </c>
      <c r="K38" s="12"/>
      <c r="L38" s="12">
        <f t="shared" si="10"/>
        <v>13667.111000000001</v>
      </c>
      <c r="M38" s="12">
        <f t="shared" si="2"/>
        <v>743.42422758920804</v>
      </c>
      <c r="N38" s="12" t="e">
        <f t="shared" si="11"/>
        <v>#REF!</v>
      </c>
      <c r="O38" s="12" t="e">
        <f t="shared" si="12"/>
        <v>#REF!</v>
      </c>
      <c r="P38" s="12" t="e">
        <f t="shared" si="13"/>
        <v>#REF!</v>
      </c>
    </row>
    <row r="39" spans="1:16" ht="15.75" hidden="1" x14ac:dyDescent="0.25">
      <c r="A39" s="14" t="s">
        <v>1810</v>
      </c>
      <c r="B39" s="14">
        <v>31</v>
      </c>
      <c r="C39" s="8" t="s">
        <v>1129</v>
      </c>
      <c r="D39" s="28" t="s">
        <v>1847</v>
      </c>
      <c r="E39" s="12" t="s">
        <v>1154</v>
      </c>
      <c r="F39" s="1"/>
      <c r="G39" s="1">
        <v>21.227</v>
      </c>
      <c r="H39" s="1">
        <v>0.14399999999999999</v>
      </c>
      <c r="I39" s="12">
        <f t="shared" si="9"/>
        <v>21.370999999999999</v>
      </c>
      <c r="J39" s="12">
        <v>15203.772999999999</v>
      </c>
      <c r="K39" s="12"/>
      <c r="L39" s="12">
        <f t="shared" si="10"/>
        <v>15203.772999999999</v>
      </c>
      <c r="M39" s="12">
        <f t="shared" si="2"/>
        <v>711.42075710074403</v>
      </c>
      <c r="N39" s="12" t="e">
        <f t="shared" si="11"/>
        <v>#REF!</v>
      </c>
      <c r="O39" s="12" t="e">
        <f t="shared" si="12"/>
        <v>#REF!</v>
      </c>
      <c r="P39" s="12" t="e">
        <f t="shared" si="13"/>
        <v>#REF!</v>
      </c>
    </row>
    <row r="40" spans="1:16" ht="15.75" hidden="1" x14ac:dyDescent="0.25">
      <c r="A40" s="14" t="s">
        <v>1810</v>
      </c>
      <c r="B40" s="14">
        <v>32</v>
      </c>
      <c r="C40" s="8" t="s">
        <v>1129</v>
      </c>
      <c r="D40" s="28" t="s">
        <v>1848</v>
      </c>
      <c r="E40" s="12" t="s">
        <v>1155</v>
      </c>
      <c r="F40" s="1"/>
      <c r="G40" s="1">
        <v>50.591999999999999</v>
      </c>
      <c r="H40" s="1">
        <v>0.158</v>
      </c>
      <c r="I40" s="12">
        <f t="shared" si="9"/>
        <v>50.75</v>
      </c>
      <c r="J40" s="12">
        <f>37482.823-2295.83</f>
        <v>35186.992999999995</v>
      </c>
      <c r="K40" s="12"/>
      <c r="L40" s="12">
        <f t="shared" si="10"/>
        <v>35186.992999999995</v>
      </c>
      <c r="M40" s="12">
        <f t="shared" si="2"/>
        <v>693.33976354679794</v>
      </c>
      <c r="N40" s="12" t="e">
        <f t="shared" si="11"/>
        <v>#REF!</v>
      </c>
      <c r="O40" s="12" t="e">
        <f t="shared" si="12"/>
        <v>#REF!</v>
      </c>
      <c r="P40" s="12" t="e">
        <f t="shared" si="13"/>
        <v>#REF!</v>
      </c>
    </row>
    <row r="41" spans="1:16" ht="15.75" hidden="1" x14ac:dyDescent="0.25">
      <c r="A41" s="14" t="s">
        <v>1810</v>
      </c>
      <c r="B41" s="14">
        <v>33</v>
      </c>
      <c r="C41" s="8" t="s">
        <v>1129</v>
      </c>
      <c r="D41" s="28" t="s">
        <v>1849</v>
      </c>
      <c r="E41" s="12" t="s">
        <v>1156</v>
      </c>
      <c r="F41" s="1"/>
      <c r="G41" s="1">
        <v>39.991999999999997</v>
      </c>
      <c r="H41" s="1">
        <v>0.21099999999999999</v>
      </c>
      <c r="I41" s="12">
        <f t="shared" si="9"/>
        <v>40.202999999999996</v>
      </c>
      <c r="J41" s="12">
        <v>33686.495000000003</v>
      </c>
      <c r="K41" s="12"/>
      <c r="L41" s="12">
        <f t="shared" si="10"/>
        <v>33686.495000000003</v>
      </c>
      <c r="M41" s="12">
        <f t="shared" si="2"/>
        <v>837.90998184215118</v>
      </c>
      <c r="N41" s="12" t="e">
        <f t="shared" si="11"/>
        <v>#REF!</v>
      </c>
      <c r="O41" s="12" t="e">
        <f t="shared" si="12"/>
        <v>#REF!</v>
      </c>
      <c r="P41" s="12" t="e">
        <f t="shared" si="13"/>
        <v>#REF!</v>
      </c>
    </row>
    <row r="42" spans="1:16" ht="15.75" hidden="1" x14ac:dyDescent="0.25">
      <c r="A42" s="14" t="s">
        <v>1810</v>
      </c>
      <c r="B42" s="14" t="s">
        <v>1126</v>
      </c>
      <c r="C42" s="10" t="s">
        <v>1743</v>
      </c>
      <c r="D42" s="28"/>
      <c r="E42" s="37" t="s">
        <v>1747</v>
      </c>
      <c r="F42" s="5"/>
      <c r="G42" s="37">
        <f t="shared" ref="G42:L42" si="14">SUM(G43:G76)</f>
        <v>242.69900000000001</v>
      </c>
      <c r="H42" s="37">
        <f t="shared" si="14"/>
        <v>1.3619999999999997</v>
      </c>
      <c r="I42" s="37">
        <f t="shared" si="14"/>
        <v>244.06099999999995</v>
      </c>
      <c r="J42" s="37">
        <f t="shared" si="14"/>
        <v>310151.76400000002</v>
      </c>
      <c r="K42" s="37">
        <f t="shared" si="14"/>
        <v>0</v>
      </c>
      <c r="L42" s="37">
        <f t="shared" si="14"/>
        <v>310151.76400000002</v>
      </c>
      <c r="M42" s="37">
        <f t="shared" si="2"/>
        <v>1270.7960878632805</v>
      </c>
      <c r="N42" s="37" t="e">
        <f>M42/$M$1429</f>
        <v>#REF!</v>
      </c>
      <c r="O42" s="37" t="e">
        <f>SUM(O43:O76)</f>
        <v>#REF!</v>
      </c>
      <c r="P42" s="37" t="e">
        <f>SUM(P43:P76)</f>
        <v>#REF!</v>
      </c>
    </row>
    <row r="43" spans="1:16" ht="15.75" hidden="1" x14ac:dyDescent="0.25">
      <c r="A43" s="14" t="s">
        <v>1810</v>
      </c>
      <c r="B43" s="14">
        <v>34</v>
      </c>
      <c r="C43" s="8" t="s">
        <v>1744</v>
      </c>
      <c r="D43" s="28" t="s">
        <v>2599</v>
      </c>
      <c r="E43" s="12" t="s">
        <v>2600</v>
      </c>
      <c r="F43" s="1"/>
      <c r="G43" s="1">
        <v>20.271000000000001</v>
      </c>
      <c r="H43" s="1">
        <v>0.156</v>
      </c>
      <c r="I43" s="12">
        <f t="shared" ref="I43:I76" si="15">H43+G43</f>
        <v>20.427</v>
      </c>
      <c r="J43" s="12">
        <v>37274.22</v>
      </c>
      <c r="K43" s="12"/>
      <c r="L43" s="12">
        <f>J43+K43</f>
        <v>37274.22</v>
      </c>
      <c r="M43" s="12">
        <f t="shared" si="2"/>
        <v>1824.752533411661</v>
      </c>
      <c r="N43" s="12" t="e">
        <f t="shared" ref="N43:N76" si="16">M43/$M$1433</f>
        <v>#REF!</v>
      </c>
      <c r="O43" s="12" t="e">
        <f t="shared" ref="O43:O76" si="17">ROUND(IF(N43&lt;110%,0,(M43-$M$1433*1.1)*0.8)*I43,1)</f>
        <v>#REF!</v>
      </c>
      <c r="P43" s="12" t="e">
        <f t="shared" ref="P43:P76" si="18">ROUND(IF(N43&gt;90%,0,(-M43+$M$1433*0.9)*0.8)*I43,1)</f>
        <v>#REF!</v>
      </c>
    </row>
    <row r="44" spans="1:16" ht="15.75" hidden="1" x14ac:dyDescent="0.25">
      <c r="A44" s="14" t="s">
        <v>1810</v>
      </c>
      <c r="B44" s="14">
        <v>35</v>
      </c>
      <c r="C44" s="8" t="s">
        <v>1744</v>
      </c>
      <c r="D44" s="28" t="s">
        <v>2601</v>
      </c>
      <c r="E44" s="12" t="s">
        <v>2602</v>
      </c>
      <c r="F44" s="1"/>
      <c r="G44" s="1">
        <v>3.3769999999999998</v>
      </c>
      <c r="H44" s="1">
        <v>4.0000000000000001E-3</v>
      </c>
      <c r="I44" s="12">
        <f t="shared" si="15"/>
        <v>3.3809999999999998</v>
      </c>
      <c r="J44" s="12">
        <v>2696.4830000000002</v>
      </c>
      <c r="K44" s="12"/>
      <c r="L44" s="12">
        <f t="shared" ref="L44:L63" si="19">J44+K44</f>
        <v>2696.4830000000002</v>
      </c>
      <c r="M44" s="12">
        <f t="shared" ref="M44:M63" si="20">L44/I44</f>
        <v>797.5400769003254</v>
      </c>
      <c r="N44" s="12" t="e">
        <f t="shared" si="16"/>
        <v>#REF!</v>
      </c>
      <c r="O44" s="12" t="e">
        <f t="shared" si="17"/>
        <v>#REF!</v>
      </c>
      <c r="P44" s="12" t="e">
        <f t="shared" si="18"/>
        <v>#REF!</v>
      </c>
    </row>
    <row r="45" spans="1:16" ht="15.75" hidden="1" x14ac:dyDescent="0.25">
      <c r="A45" s="20" t="s">
        <v>1810</v>
      </c>
      <c r="B45" s="20">
        <v>36</v>
      </c>
      <c r="C45" s="21" t="s">
        <v>1744</v>
      </c>
      <c r="D45" s="30" t="s">
        <v>122</v>
      </c>
      <c r="E45" s="12" t="s">
        <v>123</v>
      </c>
      <c r="F45" s="1"/>
      <c r="G45" s="1">
        <v>18.050999999999998</v>
      </c>
      <c r="H45" s="1">
        <v>8.1000000000000003E-2</v>
      </c>
      <c r="I45" s="12">
        <f t="shared" si="15"/>
        <v>18.131999999999998</v>
      </c>
      <c r="J45" s="12">
        <v>36898.038</v>
      </c>
      <c r="K45" s="12"/>
      <c r="L45" s="12">
        <f t="shared" si="19"/>
        <v>36898.038</v>
      </c>
      <c r="M45" s="12">
        <f t="shared" si="20"/>
        <v>2034.9679020516216</v>
      </c>
      <c r="N45" s="12" t="e">
        <f t="shared" si="16"/>
        <v>#REF!</v>
      </c>
      <c r="O45" s="12" t="e">
        <f t="shared" si="17"/>
        <v>#REF!</v>
      </c>
      <c r="P45" s="12" t="e">
        <f t="shared" si="18"/>
        <v>#REF!</v>
      </c>
    </row>
    <row r="46" spans="1:16" ht="15.75" hidden="1" x14ac:dyDescent="0.25">
      <c r="A46" s="20" t="s">
        <v>1810</v>
      </c>
      <c r="B46" s="20">
        <v>37</v>
      </c>
      <c r="C46" s="21" t="s">
        <v>1744</v>
      </c>
      <c r="D46" s="30" t="s">
        <v>124</v>
      </c>
      <c r="E46" s="12" t="s">
        <v>125</v>
      </c>
      <c r="F46" s="1"/>
      <c r="G46" s="1">
        <v>8.2170000000000005</v>
      </c>
      <c r="H46" s="1">
        <v>3.5999999999999997E-2</v>
      </c>
      <c r="I46" s="12">
        <f t="shared" si="15"/>
        <v>8.2530000000000001</v>
      </c>
      <c r="J46" s="12">
        <v>9635.7209999999995</v>
      </c>
      <c r="K46" s="12"/>
      <c r="L46" s="12">
        <f t="shared" si="19"/>
        <v>9635.7209999999995</v>
      </c>
      <c r="M46" s="12">
        <f t="shared" si="20"/>
        <v>1167.5416212286441</v>
      </c>
      <c r="N46" s="12" t="e">
        <f t="shared" si="16"/>
        <v>#REF!</v>
      </c>
      <c r="O46" s="12" t="e">
        <f t="shared" si="17"/>
        <v>#REF!</v>
      </c>
      <c r="P46" s="12" t="e">
        <f t="shared" si="18"/>
        <v>#REF!</v>
      </c>
    </row>
    <row r="47" spans="1:16" ht="15.75" hidden="1" x14ac:dyDescent="0.25">
      <c r="A47" s="20" t="s">
        <v>1810</v>
      </c>
      <c r="B47" s="20">
        <v>38</v>
      </c>
      <c r="C47" s="21" t="s">
        <v>1744</v>
      </c>
      <c r="D47" s="30" t="s">
        <v>144</v>
      </c>
      <c r="E47" s="12" t="s">
        <v>145</v>
      </c>
      <c r="F47" s="1"/>
      <c r="G47" s="1">
        <v>16.803999999999998</v>
      </c>
      <c r="H47" s="1">
        <v>0.13600000000000001</v>
      </c>
      <c r="I47" s="12">
        <f t="shared" si="15"/>
        <v>16.939999999999998</v>
      </c>
      <c r="J47" s="12">
        <v>22187.135999999999</v>
      </c>
      <c r="K47" s="12"/>
      <c r="L47" s="12">
        <f t="shared" si="19"/>
        <v>22187.135999999999</v>
      </c>
      <c r="M47" s="12">
        <f t="shared" si="20"/>
        <v>1309.7482880755608</v>
      </c>
      <c r="N47" s="12" t="e">
        <f t="shared" si="16"/>
        <v>#REF!</v>
      </c>
      <c r="O47" s="12" t="e">
        <f t="shared" si="17"/>
        <v>#REF!</v>
      </c>
      <c r="P47" s="12" t="e">
        <f t="shared" si="18"/>
        <v>#REF!</v>
      </c>
    </row>
    <row r="48" spans="1:16" ht="15.75" hidden="1" x14ac:dyDescent="0.25">
      <c r="A48" s="20" t="s">
        <v>1810</v>
      </c>
      <c r="B48" s="20">
        <v>39</v>
      </c>
      <c r="C48" s="21" t="s">
        <v>1744</v>
      </c>
      <c r="D48" s="30" t="s">
        <v>146</v>
      </c>
      <c r="E48" s="12" t="s">
        <v>147</v>
      </c>
      <c r="F48" s="1"/>
      <c r="G48" s="1">
        <v>15.379</v>
      </c>
      <c r="H48" s="1">
        <v>6.0999999999999999E-2</v>
      </c>
      <c r="I48" s="12">
        <f t="shared" si="15"/>
        <v>15.44</v>
      </c>
      <c r="J48" s="12">
        <v>22867.355</v>
      </c>
      <c r="K48" s="12"/>
      <c r="L48" s="12">
        <f t="shared" si="19"/>
        <v>22867.355</v>
      </c>
      <c r="M48" s="12">
        <f t="shared" si="20"/>
        <v>1481.0463082901554</v>
      </c>
      <c r="N48" s="12" t="e">
        <f t="shared" si="16"/>
        <v>#REF!</v>
      </c>
      <c r="O48" s="12" t="e">
        <f t="shared" si="17"/>
        <v>#REF!</v>
      </c>
      <c r="P48" s="12" t="e">
        <f t="shared" si="18"/>
        <v>#REF!</v>
      </c>
    </row>
    <row r="49" spans="1:16" ht="15.75" hidden="1" x14ac:dyDescent="0.25">
      <c r="A49" s="20" t="s">
        <v>1810</v>
      </c>
      <c r="B49" s="20">
        <v>40</v>
      </c>
      <c r="C49" s="21" t="s">
        <v>1744</v>
      </c>
      <c r="D49" s="30" t="s">
        <v>148</v>
      </c>
      <c r="E49" s="12" t="s">
        <v>149</v>
      </c>
      <c r="F49" s="1"/>
      <c r="G49" s="1">
        <v>21.137</v>
      </c>
      <c r="H49" s="1">
        <v>0.105</v>
      </c>
      <c r="I49" s="12">
        <f t="shared" si="15"/>
        <v>21.242000000000001</v>
      </c>
      <c r="J49" s="12">
        <v>35476.453000000001</v>
      </c>
      <c r="K49" s="12"/>
      <c r="L49" s="12">
        <f t="shared" si="19"/>
        <v>35476.453000000001</v>
      </c>
      <c r="M49" s="12">
        <f t="shared" si="20"/>
        <v>1670.1088880519726</v>
      </c>
      <c r="N49" s="12" t="e">
        <f t="shared" si="16"/>
        <v>#REF!</v>
      </c>
      <c r="O49" s="12" t="e">
        <f t="shared" si="17"/>
        <v>#REF!</v>
      </c>
      <c r="P49" s="12" t="e">
        <f t="shared" si="18"/>
        <v>#REF!</v>
      </c>
    </row>
    <row r="50" spans="1:16" ht="15.75" hidden="1" x14ac:dyDescent="0.25">
      <c r="A50" s="20" t="s">
        <v>1810</v>
      </c>
      <c r="B50" s="20">
        <v>41</v>
      </c>
      <c r="C50" s="21" t="s">
        <v>1744</v>
      </c>
      <c r="D50" s="30" t="s">
        <v>150</v>
      </c>
      <c r="E50" s="12" t="s">
        <v>151</v>
      </c>
      <c r="F50" s="1"/>
      <c r="G50" s="1">
        <v>7.8810000000000002</v>
      </c>
      <c r="H50" s="1">
        <v>2.9000000000000001E-2</v>
      </c>
      <c r="I50" s="12">
        <f t="shared" si="15"/>
        <v>7.91</v>
      </c>
      <c r="J50" s="12">
        <v>5580.1059999999998</v>
      </c>
      <c r="K50" s="12"/>
      <c r="L50" s="12">
        <f t="shared" si="19"/>
        <v>5580.1059999999998</v>
      </c>
      <c r="M50" s="12">
        <f t="shared" si="20"/>
        <v>705.44955752212388</v>
      </c>
      <c r="N50" s="12" t="e">
        <f t="shared" si="16"/>
        <v>#REF!</v>
      </c>
      <c r="O50" s="12" t="e">
        <f t="shared" si="17"/>
        <v>#REF!</v>
      </c>
      <c r="P50" s="12" t="e">
        <f t="shared" si="18"/>
        <v>#REF!</v>
      </c>
    </row>
    <row r="51" spans="1:16" ht="15.75" hidden="1" x14ac:dyDescent="0.25">
      <c r="A51" s="20" t="s">
        <v>1810</v>
      </c>
      <c r="B51" s="20">
        <v>42</v>
      </c>
      <c r="C51" s="21" t="s">
        <v>1744</v>
      </c>
      <c r="D51" s="30" t="s">
        <v>152</v>
      </c>
      <c r="E51" s="12" t="s">
        <v>153</v>
      </c>
      <c r="F51" s="1"/>
      <c r="G51" s="1">
        <v>8.3919999999999995</v>
      </c>
      <c r="H51" s="1">
        <v>2.3E-2</v>
      </c>
      <c r="I51" s="12">
        <f t="shared" si="15"/>
        <v>8.4149999999999991</v>
      </c>
      <c r="J51" s="12">
        <v>6261.8069999999998</v>
      </c>
      <c r="K51" s="12"/>
      <c r="L51" s="12">
        <f t="shared" si="19"/>
        <v>6261.8069999999998</v>
      </c>
      <c r="M51" s="12">
        <f t="shared" si="20"/>
        <v>744.12442067736185</v>
      </c>
      <c r="N51" s="12" t="e">
        <f t="shared" si="16"/>
        <v>#REF!</v>
      </c>
      <c r="O51" s="12" t="e">
        <f t="shared" si="17"/>
        <v>#REF!</v>
      </c>
      <c r="P51" s="12" t="e">
        <f t="shared" si="18"/>
        <v>#REF!</v>
      </c>
    </row>
    <row r="52" spans="1:16" ht="15.75" hidden="1" x14ac:dyDescent="0.25">
      <c r="A52" s="20" t="s">
        <v>1810</v>
      </c>
      <c r="B52" s="20">
        <v>43</v>
      </c>
      <c r="C52" s="21" t="s">
        <v>1744</v>
      </c>
      <c r="D52" s="30" t="s">
        <v>154</v>
      </c>
      <c r="E52" s="12" t="s">
        <v>155</v>
      </c>
      <c r="F52" s="1"/>
      <c r="G52" s="1">
        <v>3.879</v>
      </c>
      <c r="H52" s="1">
        <v>4.5999999999999999E-2</v>
      </c>
      <c r="I52" s="12">
        <f t="shared" si="15"/>
        <v>3.9249999999999998</v>
      </c>
      <c r="J52" s="12">
        <v>6976.6360000000004</v>
      </c>
      <c r="K52" s="12"/>
      <c r="L52" s="12">
        <f t="shared" si="19"/>
        <v>6976.6360000000004</v>
      </c>
      <c r="M52" s="12">
        <f t="shared" si="20"/>
        <v>1777.486878980892</v>
      </c>
      <c r="N52" s="12" t="e">
        <f t="shared" si="16"/>
        <v>#REF!</v>
      </c>
      <c r="O52" s="12" t="e">
        <f t="shared" si="17"/>
        <v>#REF!</v>
      </c>
      <c r="P52" s="12" t="e">
        <f t="shared" si="18"/>
        <v>#REF!</v>
      </c>
    </row>
    <row r="53" spans="1:16" ht="15.75" hidden="1" x14ac:dyDescent="0.25">
      <c r="A53" s="20" t="s">
        <v>1810</v>
      </c>
      <c r="B53" s="20">
        <v>44</v>
      </c>
      <c r="C53" s="21" t="s">
        <v>1744</v>
      </c>
      <c r="D53" s="30" t="s">
        <v>156</v>
      </c>
      <c r="E53" s="12" t="s">
        <v>157</v>
      </c>
      <c r="F53" s="1"/>
      <c r="G53" s="1">
        <v>2.81</v>
      </c>
      <c r="H53" s="1">
        <v>1.6E-2</v>
      </c>
      <c r="I53" s="12">
        <f t="shared" si="15"/>
        <v>2.8260000000000001</v>
      </c>
      <c r="J53" s="12">
        <v>1564.34</v>
      </c>
      <c r="K53" s="12"/>
      <c r="L53" s="12">
        <f t="shared" si="19"/>
        <v>1564.34</v>
      </c>
      <c r="M53" s="12">
        <f t="shared" si="20"/>
        <v>553.55272469922147</v>
      </c>
      <c r="N53" s="12" t="e">
        <f t="shared" si="16"/>
        <v>#REF!</v>
      </c>
      <c r="O53" s="12" t="e">
        <f t="shared" si="17"/>
        <v>#REF!</v>
      </c>
      <c r="P53" s="12" t="e">
        <f t="shared" si="18"/>
        <v>#REF!</v>
      </c>
    </row>
    <row r="54" spans="1:16" ht="15.75" hidden="1" x14ac:dyDescent="0.25">
      <c r="A54" s="20" t="s">
        <v>1810</v>
      </c>
      <c r="B54" s="20">
        <v>45</v>
      </c>
      <c r="C54" s="21" t="s">
        <v>1744</v>
      </c>
      <c r="D54" s="30" t="s">
        <v>158</v>
      </c>
      <c r="E54" s="12" t="s">
        <v>159</v>
      </c>
      <c r="F54" s="1"/>
      <c r="G54" s="1">
        <v>7.5220000000000002</v>
      </c>
      <c r="H54" s="1">
        <v>4.2999999999999997E-2</v>
      </c>
      <c r="I54" s="12">
        <f t="shared" si="15"/>
        <v>7.5650000000000004</v>
      </c>
      <c r="J54" s="12">
        <v>20838.668000000001</v>
      </c>
      <c r="K54" s="12"/>
      <c r="L54" s="12">
        <f t="shared" si="19"/>
        <v>20838.668000000001</v>
      </c>
      <c r="M54" s="12">
        <f t="shared" si="20"/>
        <v>2754.6157303370787</v>
      </c>
      <c r="N54" s="12" t="e">
        <f t="shared" si="16"/>
        <v>#REF!</v>
      </c>
      <c r="O54" s="12" t="e">
        <f t="shared" si="17"/>
        <v>#REF!</v>
      </c>
      <c r="P54" s="12" t="e">
        <f t="shared" si="18"/>
        <v>#REF!</v>
      </c>
    </row>
    <row r="55" spans="1:16" ht="15.75" hidden="1" x14ac:dyDescent="0.25">
      <c r="A55" s="20" t="s">
        <v>1810</v>
      </c>
      <c r="B55" s="20">
        <v>46</v>
      </c>
      <c r="C55" s="21" t="s">
        <v>1744</v>
      </c>
      <c r="D55" s="30" t="s">
        <v>160</v>
      </c>
      <c r="E55" s="12" t="s">
        <v>161</v>
      </c>
      <c r="F55" s="1"/>
      <c r="G55" s="1">
        <v>4.4429999999999996</v>
      </c>
      <c r="H55" s="1">
        <v>2.3E-2</v>
      </c>
      <c r="I55" s="12">
        <f t="shared" si="15"/>
        <v>4.4659999999999993</v>
      </c>
      <c r="J55" s="12">
        <v>2235.5100000000002</v>
      </c>
      <c r="K55" s="12"/>
      <c r="L55" s="12">
        <f t="shared" si="19"/>
        <v>2235.5100000000002</v>
      </c>
      <c r="M55" s="12">
        <f t="shared" si="20"/>
        <v>500.56202418271397</v>
      </c>
      <c r="N55" s="12" t="e">
        <f t="shared" si="16"/>
        <v>#REF!</v>
      </c>
      <c r="O55" s="12" t="e">
        <f t="shared" si="17"/>
        <v>#REF!</v>
      </c>
      <c r="P55" s="12" t="e">
        <f t="shared" si="18"/>
        <v>#REF!</v>
      </c>
    </row>
    <row r="56" spans="1:16" ht="15.75" hidden="1" x14ac:dyDescent="0.25">
      <c r="A56" s="20" t="s">
        <v>1810</v>
      </c>
      <c r="B56" s="20">
        <v>47</v>
      </c>
      <c r="C56" s="21" t="s">
        <v>1744</v>
      </c>
      <c r="D56" s="30" t="s">
        <v>162</v>
      </c>
      <c r="E56" s="12" t="s">
        <v>163</v>
      </c>
      <c r="F56" s="1"/>
      <c r="G56" s="1">
        <v>3.0830000000000002</v>
      </c>
      <c r="H56" s="1">
        <v>0.01</v>
      </c>
      <c r="I56" s="12">
        <f t="shared" si="15"/>
        <v>3.093</v>
      </c>
      <c r="J56" s="12">
        <v>2174.5949999999998</v>
      </c>
      <c r="K56" s="12"/>
      <c r="L56" s="12">
        <f t="shared" si="19"/>
        <v>2174.5949999999998</v>
      </c>
      <c r="M56" s="12">
        <f t="shared" si="20"/>
        <v>703.06983511154215</v>
      </c>
      <c r="N56" s="12" t="e">
        <f t="shared" si="16"/>
        <v>#REF!</v>
      </c>
      <c r="O56" s="12" t="e">
        <f t="shared" si="17"/>
        <v>#REF!</v>
      </c>
      <c r="P56" s="12" t="e">
        <f t="shared" si="18"/>
        <v>#REF!</v>
      </c>
    </row>
    <row r="57" spans="1:16" ht="15.75" hidden="1" x14ac:dyDescent="0.25">
      <c r="A57" s="20" t="s">
        <v>1810</v>
      </c>
      <c r="B57" s="20">
        <v>48</v>
      </c>
      <c r="C57" s="21" t="s">
        <v>1744</v>
      </c>
      <c r="D57" s="30" t="s">
        <v>164</v>
      </c>
      <c r="E57" s="12" t="s">
        <v>506</v>
      </c>
      <c r="F57" s="1"/>
      <c r="G57" s="1">
        <v>3.8769999999999998</v>
      </c>
      <c r="H57" s="1">
        <v>8.9999999999999993E-3</v>
      </c>
      <c r="I57" s="12">
        <f t="shared" si="15"/>
        <v>3.8859999999999997</v>
      </c>
      <c r="J57" s="12">
        <v>7472.5339999999997</v>
      </c>
      <c r="K57" s="12"/>
      <c r="L57" s="12">
        <f t="shared" si="19"/>
        <v>7472.5339999999997</v>
      </c>
      <c r="M57" s="12">
        <f t="shared" si="20"/>
        <v>1922.9372104992281</v>
      </c>
      <c r="N57" s="12" t="e">
        <f t="shared" si="16"/>
        <v>#REF!</v>
      </c>
      <c r="O57" s="12" t="e">
        <f t="shared" si="17"/>
        <v>#REF!</v>
      </c>
      <c r="P57" s="12" t="e">
        <f t="shared" si="18"/>
        <v>#REF!</v>
      </c>
    </row>
    <row r="58" spans="1:16" ht="15.75" hidden="1" x14ac:dyDescent="0.25">
      <c r="A58" s="20" t="s">
        <v>1810</v>
      </c>
      <c r="B58" s="20">
        <v>49</v>
      </c>
      <c r="C58" s="21" t="s">
        <v>1744</v>
      </c>
      <c r="D58" s="30" t="s">
        <v>165</v>
      </c>
      <c r="E58" s="12" t="s">
        <v>166</v>
      </c>
      <c r="F58" s="1"/>
      <c r="G58" s="1">
        <v>5.4720000000000004</v>
      </c>
      <c r="H58" s="1">
        <v>6.2E-2</v>
      </c>
      <c r="I58" s="12">
        <f t="shared" si="15"/>
        <v>5.5340000000000007</v>
      </c>
      <c r="J58" s="12">
        <v>3696.5949999999998</v>
      </c>
      <c r="K58" s="12"/>
      <c r="L58" s="12">
        <f t="shared" si="19"/>
        <v>3696.5949999999998</v>
      </c>
      <c r="M58" s="12">
        <f t="shared" si="20"/>
        <v>667.97885796891933</v>
      </c>
      <c r="N58" s="12" t="e">
        <f t="shared" si="16"/>
        <v>#REF!</v>
      </c>
      <c r="O58" s="12" t="e">
        <f t="shared" si="17"/>
        <v>#REF!</v>
      </c>
      <c r="P58" s="12" t="e">
        <f t="shared" si="18"/>
        <v>#REF!</v>
      </c>
    </row>
    <row r="59" spans="1:16" ht="15.75" hidden="1" x14ac:dyDescent="0.25">
      <c r="A59" s="20" t="s">
        <v>1810</v>
      </c>
      <c r="B59" s="20">
        <v>50</v>
      </c>
      <c r="C59" s="21" t="s">
        <v>1744</v>
      </c>
      <c r="D59" s="30" t="s">
        <v>167</v>
      </c>
      <c r="E59" s="12" t="s">
        <v>168</v>
      </c>
      <c r="F59" s="1"/>
      <c r="G59" s="1">
        <v>5.101</v>
      </c>
      <c r="H59" s="1">
        <v>2.4E-2</v>
      </c>
      <c r="I59" s="12">
        <f t="shared" si="15"/>
        <v>5.125</v>
      </c>
      <c r="J59" s="12">
        <v>5493.9139999999998</v>
      </c>
      <c r="K59" s="12"/>
      <c r="L59" s="12">
        <f t="shared" si="19"/>
        <v>5493.9139999999998</v>
      </c>
      <c r="M59" s="12">
        <f t="shared" si="20"/>
        <v>1071.9832195121951</v>
      </c>
      <c r="N59" s="12" t="e">
        <f t="shared" si="16"/>
        <v>#REF!</v>
      </c>
      <c r="O59" s="12" t="e">
        <f t="shared" si="17"/>
        <v>#REF!</v>
      </c>
      <c r="P59" s="12" t="e">
        <f t="shared" si="18"/>
        <v>#REF!</v>
      </c>
    </row>
    <row r="60" spans="1:16" ht="15.75" hidden="1" x14ac:dyDescent="0.25">
      <c r="A60" s="20" t="s">
        <v>1810</v>
      </c>
      <c r="B60" s="20">
        <v>51</v>
      </c>
      <c r="C60" s="21" t="s">
        <v>1744</v>
      </c>
      <c r="D60" s="30" t="s">
        <v>169</v>
      </c>
      <c r="E60" s="12" t="s">
        <v>170</v>
      </c>
      <c r="F60" s="1"/>
      <c r="G60" s="1">
        <v>1.4930000000000001</v>
      </c>
      <c r="H60" s="1">
        <v>7.0000000000000001E-3</v>
      </c>
      <c r="I60" s="12">
        <f t="shared" si="15"/>
        <v>1.5</v>
      </c>
      <c r="J60" s="12">
        <v>690.53599999999994</v>
      </c>
      <c r="K60" s="12"/>
      <c r="L60" s="12">
        <f t="shared" si="19"/>
        <v>690.53599999999994</v>
      </c>
      <c r="M60" s="12">
        <f t="shared" si="20"/>
        <v>460.35733333333332</v>
      </c>
      <c r="N60" s="12" t="e">
        <f t="shared" si="16"/>
        <v>#REF!</v>
      </c>
      <c r="O60" s="12" t="e">
        <f t="shared" si="17"/>
        <v>#REF!</v>
      </c>
      <c r="P60" s="12" t="e">
        <f t="shared" si="18"/>
        <v>#REF!</v>
      </c>
    </row>
    <row r="61" spans="1:16" ht="15.75" hidden="1" x14ac:dyDescent="0.25">
      <c r="A61" s="20" t="s">
        <v>1810</v>
      </c>
      <c r="B61" s="20">
        <v>52</v>
      </c>
      <c r="C61" s="21" t="s">
        <v>1744</v>
      </c>
      <c r="D61" s="30" t="s">
        <v>171</v>
      </c>
      <c r="E61" s="12" t="s">
        <v>172</v>
      </c>
      <c r="F61" s="1"/>
      <c r="G61" s="1">
        <v>2.2330000000000001</v>
      </c>
      <c r="H61" s="1">
        <v>1.0999999999999999E-2</v>
      </c>
      <c r="I61" s="12">
        <f t="shared" si="15"/>
        <v>2.2440000000000002</v>
      </c>
      <c r="J61" s="12">
        <v>1652.46</v>
      </c>
      <c r="K61" s="12"/>
      <c r="L61" s="12">
        <f t="shared" si="19"/>
        <v>1652.46</v>
      </c>
      <c r="M61" s="12">
        <f t="shared" si="20"/>
        <v>736.39037433155079</v>
      </c>
      <c r="N61" s="12" t="e">
        <f t="shared" si="16"/>
        <v>#REF!</v>
      </c>
      <c r="O61" s="12" t="e">
        <f t="shared" si="17"/>
        <v>#REF!</v>
      </c>
      <c r="P61" s="12" t="e">
        <f t="shared" si="18"/>
        <v>#REF!</v>
      </c>
    </row>
    <row r="62" spans="1:16" ht="15.75" hidden="1" x14ac:dyDescent="0.25">
      <c r="A62" s="20" t="s">
        <v>1810</v>
      </c>
      <c r="B62" s="20">
        <v>53</v>
      </c>
      <c r="C62" s="21" t="s">
        <v>1744</v>
      </c>
      <c r="D62" s="30" t="s">
        <v>173</v>
      </c>
      <c r="E62" s="12" t="s">
        <v>174</v>
      </c>
      <c r="F62" s="1"/>
      <c r="G62" s="1">
        <v>3.6419999999999999</v>
      </c>
      <c r="H62" s="1">
        <v>2.1999999999999999E-2</v>
      </c>
      <c r="I62" s="12">
        <f t="shared" si="15"/>
        <v>3.6639999999999997</v>
      </c>
      <c r="J62" s="12">
        <v>2299.5970000000002</v>
      </c>
      <c r="K62" s="12"/>
      <c r="L62" s="12">
        <f t="shared" si="19"/>
        <v>2299.5970000000002</v>
      </c>
      <c r="M62" s="12">
        <f t="shared" si="20"/>
        <v>627.61926855895206</v>
      </c>
      <c r="N62" s="12" t="e">
        <f t="shared" si="16"/>
        <v>#REF!</v>
      </c>
      <c r="O62" s="12" t="e">
        <f t="shared" si="17"/>
        <v>#REF!</v>
      </c>
      <c r="P62" s="12" t="e">
        <f t="shared" si="18"/>
        <v>#REF!</v>
      </c>
    </row>
    <row r="63" spans="1:16" ht="15.75" hidden="1" x14ac:dyDescent="0.25">
      <c r="A63" s="20" t="s">
        <v>1810</v>
      </c>
      <c r="B63" s="20">
        <v>54</v>
      </c>
      <c r="C63" s="21" t="s">
        <v>1744</v>
      </c>
      <c r="D63" s="30" t="s">
        <v>175</v>
      </c>
      <c r="E63" s="12" t="s">
        <v>176</v>
      </c>
      <c r="F63" s="1"/>
      <c r="G63" s="1">
        <v>3.6280000000000001</v>
      </c>
      <c r="H63" s="1">
        <v>1.2E-2</v>
      </c>
      <c r="I63" s="12">
        <f t="shared" si="15"/>
        <v>3.64</v>
      </c>
      <c r="J63" s="12">
        <v>1055.0060000000001</v>
      </c>
      <c r="K63" s="12"/>
      <c r="L63" s="12">
        <f t="shared" si="19"/>
        <v>1055.0060000000001</v>
      </c>
      <c r="M63" s="12">
        <f t="shared" si="20"/>
        <v>289.83681318681317</v>
      </c>
      <c r="N63" s="12" t="e">
        <f t="shared" si="16"/>
        <v>#REF!</v>
      </c>
      <c r="O63" s="12" t="e">
        <f t="shared" si="17"/>
        <v>#REF!</v>
      </c>
      <c r="P63" s="12" t="e">
        <f t="shared" si="18"/>
        <v>#REF!</v>
      </c>
    </row>
    <row r="64" spans="1:16" ht="15.75" hidden="1" x14ac:dyDescent="0.25">
      <c r="A64" s="20" t="s">
        <v>1810</v>
      </c>
      <c r="B64" s="20">
        <v>57</v>
      </c>
      <c r="C64" s="21" t="s">
        <v>1744</v>
      </c>
      <c r="D64" s="30" t="s">
        <v>507</v>
      </c>
      <c r="E64" s="38" t="s">
        <v>512</v>
      </c>
      <c r="F64" s="39"/>
      <c r="G64" s="39">
        <v>6.4939999999999998</v>
      </c>
      <c r="H64" s="39">
        <v>7.0000000000000001E-3</v>
      </c>
      <c r="I64" s="12">
        <f t="shared" si="15"/>
        <v>6.5009999999999994</v>
      </c>
      <c r="J64" s="38">
        <v>2295.83</v>
      </c>
      <c r="K64" s="38"/>
      <c r="L64" s="38">
        <f t="shared" ref="L64:L75" si="21">J64+K64</f>
        <v>2295.83</v>
      </c>
      <c r="M64" s="38">
        <f t="shared" ref="M64:M75" si="22">L64/I64</f>
        <v>353.1502845716044</v>
      </c>
      <c r="N64" s="12" t="e">
        <f t="shared" si="16"/>
        <v>#REF!</v>
      </c>
      <c r="O64" s="12" t="e">
        <f t="shared" si="17"/>
        <v>#REF!</v>
      </c>
      <c r="P64" s="12" t="e">
        <f t="shared" si="18"/>
        <v>#REF!</v>
      </c>
    </row>
    <row r="65" spans="1:16" ht="15.75" hidden="1" x14ac:dyDescent="0.25">
      <c r="A65" s="20" t="s">
        <v>1810</v>
      </c>
      <c r="B65" s="20">
        <v>58</v>
      </c>
      <c r="C65" s="21" t="s">
        <v>1744</v>
      </c>
      <c r="D65" s="30" t="s">
        <v>509</v>
      </c>
      <c r="E65" s="42" t="s">
        <v>508</v>
      </c>
      <c r="F65" s="43"/>
      <c r="G65" s="43">
        <v>9.4700000000000006</v>
      </c>
      <c r="H65" s="43">
        <v>6.9000000000000006E-2</v>
      </c>
      <c r="I65" s="12">
        <f t="shared" si="15"/>
        <v>9.5390000000000015</v>
      </c>
      <c r="J65" s="42">
        <v>15575.870999999999</v>
      </c>
      <c r="K65" s="42"/>
      <c r="L65" s="42">
        <f t="shared" si="21"/>
        <v>15575.870999999999</v>
      </c>
      <c r="M65" s="42">
        <f t="shared" si="22"/>
        <v>1632.8620400461261</v>
      </c>
      <c r="N65" s="12" t="e">
        <f t="shared" si="16"/>
        <v>#REF!</v>
      </c>
      <c r="O65" s="12" t="e">
        <f t="shared" si="17"/>
        <v>#REF!</v>
      </c>
      <c r="P65" s="12" t="e">
        <f t="shared" si="18"/>
        <v>#REF!</v>
      </c>
    </row>
    <row r="66" spans="1:16" ht="15.75" hidden="1" x14ac:dyDescent="0.25">
      <c r="A66" s="20" t="s">
        <v>1810</v>
      </c>
      <c r="B66" s="20">
        <v>59</v>
      </c>
      <c r="C66" s="21" t="s">
        <v>1744</v>
      </c>
      <c r="D66" s="30" t="s">
        <v>511</v>
      </c>
      <c r="E66" s="42" t="s">
        <v>510</v>
      </c>
      <c r="F66" s="43"/>
      <c r="G66" s="43">
        <v>4.4749999999999996</v>
      </c>
      <c r="H66" s="43">
        <v>5.0000000000000001E-3</v>
      </c>
      <c r="I66" s="12">
        <f t="shared" si="15"/>
        <v>4.4799999999999995</v>
      </c>
      <c r="J66" s="42">
        <v>8905.1319999999996</v>
      </c>
      <c r="K66" s="42"/>
      <c r="L66" s="42">
        <f t="shared" si="21"/>
        <v>8905.1319999999996</v>
      </c>
      <c r="M66" s="42">
        <f t="shared" si="22"/>
        <v>1987.7526785714288</v>
      </c>
      <c r="N66" s="12" t="e">
        <f t="shared" si="16"/>
        <v>#REF!</v>
      </c>
      <c r="O66" s="12" t="e">
        <f t="shared" si="17"/>
        <v>#REF!</v>
      </c>
      <c r="P66" s="12" t="e">
        <f t="shared" si="18"/>
        <v>#REF!</v>
      </c>
    </row>
    <row r="67" spans="1:16" ht="15.75" hidden="1" x14ac:dyDescent="0.25">
      <c r="A67" s="49" t="s">
        <v>1810</v>
      </c>
      <c r="B67" s="49">
        <v>60</v>
      </c>
      <c r="C67" s="50" t="s">
        <v>1744</v>
      </c>
      <c r="D67" s="51" t="s">
        <v>578</v>
      </c>
      <c r="E67" s="52" t="s">
        <v>579</v>
      </c>
      <c r="F67" s="53"/>
      <c r="G67" s="53">
        <v>2.746</v>
      </c>
      <c r="H67" s="53">
        <v>5.0000000000000001E-3</v>
      </c>
      <c r="I67" s="12">
        <f t="shared" si="15"/>
        <v>2.7509999999999999</v>
      </c>
      <c r="J67" s="52">
        <v>1566.653</v>
      </c>
      <c r="K67" s="52"/>
      <c r="L67" s="52">
        <f t="shared" si="21"/>
        <v>1566.653</v>
      </c>
      <c r="M67" s="52">
        <f t="shared" si="22"/>
        <v>569.48491457651767</v>
      </c>
      <c r="N67" s="12" t="e">
        <f t="shared" si="16"/>
        <v>#REF!</v>
      </c>
      <c r="O67" s="12" t="e">
        <f t="shared" si="17"/>
        <v>#REF!</v>
      </c>
      <c r="P67" s="12" t="e">
        <f t="shared" si="18"/>
        <v>#REF!</v>
      </c>
    </row>
    <row r="68" spans="1:16" ht="15.75" hidden="1" x14ac:dyDescent="0.25">
      <c r="A68" s="49" t="s">
        <v>1810</v>
      </c>
      <c r="B68" s="49">
        <v>61</v>
      </c>
      <c r="C68" s="50" t="s">
        <v>1744</v>
      </c>
      <c r="D68" s="51" t="s">
        <v>580</v>
      </c>
      <c r="E68" s="52" t="s">
        <v>581</v>
      </c>
      <c r="F68" s="53"/>
      <c r="G68" s="53">
        <v>7.2569999999999997</v>
      </c>
      <c r="H68" s="53">
        <v>3.3000000000000002E-2</v>
      </c>
      <c r="I68" s="12">
        <f t="shared" si="15"/>
        <v>7.29</v>
      </c>
      <c r="J68" s="52">
        <v>3698.2779999999998</v>
      </c>
      <c r="K68" s="52"/>
      <c r="L68" s="52">
        <f t="shared" si="21"/>
        <v>3698.2779999999998</v>
      </c>
      <c r="M68" s="52">
        <f t="shared" si="22"/>
        <v>507.30836762688614</v>
      </c>
      <c r="N68" s="12" t="e">
        <f t="shared" si="16"/>
        <v>#REF!</v>
      </c>
      <c r="O68" s="12" t="e">
        <f t="shared" si="17"/>
        <v>#REF!</v>
      </c>
      <c r="P68" s="12" t="e">
        <f t="shared" si="18"/>
        <v>#REF!</v>
      </c>
    </row>
    <row r="69" spans="1:16" ht="15.75" hidden="1" x14ac:dyDescent="0.25">
      <c r="A69" s="49" t="s">
        <v>1810</v>
      </c>
      <c r="B69" s="49">
        <v>62</v>
      </c>
      <c r="C69" s="50" t="s">
        <v>1744</v>
      </c>
      <c r="D69" s="51" t="s">
        <v>582</v>
      </c>
      <c r="E69" s="52" t="s">
        <v>583</v>
      </c>
      <c r="F69" s="53"/>
      <c r="G69" s="53">
        <v>4.7149999999999999</v>
      </c>
      <c r="H69" s="53">
        <v>8.9999999999999993E-3</v>
      </c>
      <c r="I69" s="12">
        <f t="shared" si="15"/>
        <v>4.7240000000000002</v>
      </c>
      <c r="J69" s="52">
        <v>6944.9679999999998</v>
      </c>
      <c r="K69" s="52"/>
      <c r="L69" s="52">
        <f t="shared" si="21"/>
        <v>6944.9679999999998</v>
      </c>
      <c r="M69" s="52">
        <f t="shared" si="22"/>
        <v>1470.1456392887383</v>
      </c>
      <c r="N69" s="12" t="e">
        <f t="shared" si="16"/>
        <v>#REF!</v>
      </c>
      <c r="O69" s="12" t="e">
        <f t="shared" si="17"/>
        <v>#REF!</v>
      </c>
      <c r="P69" s="12" t="e">
        <f t="shared" si="18"/>
        <v>#REF!</v>
      </c>
    </row>
    <row r="70" spans="1:16" ht="15.75" hidden="1" x14ac:dyDescent="0.25">
      <c r="A70" s="49" t="s">
        <v>1810</v>
      </c>
      <c r="B70" s="49">
        <v>63</v>
      </c>
      <c r="C70" s="50" t="s">
        <v>1744</v>
      </c>
      <c r="D70" s="51" t="s">
        <v>584</v>
      </c>
      <c r="E70" s="52" t="s">
        <v>585</v>
      </c>
      <c r="F70" s="53"/>
      <c r="G70" s="53">
        <v>2.8969999999999998</v>
      </c>
      <c r="H70" s="53">
        <v>2E-3</v>
      </c>
      <c r="I70" s="12">
        <f t="shared" si="15"/>
        <v>2.8989999999999996</v>
      </c>
      <c r="J70" s="52">
        <v>2713.721</v>
      </c>
      <c r="K70" s="52"/>
      <c r="L70" s="52">
        <f t="shared" si="21"/>
        <v>2713.721</v>
      </c>
      <c r="M70" s="52">
        <f t="shared" si="22"/>
        <v>936.08865125905504</v>
      </c>
      <c r="N70" s="12" t="e">
        <f t="shared" si="16"/>
        <v>#REF!</v>
      </c>
      <c r="O70" s="12" t="e">
        <f t="shared" si="17"/>
        <v>#REF!</v>
      </c>
      <c r="P70" s="12" t="e">
        <f t="shared" si="18"/>
        <v>#REF!</v>
      </c>
    </row>
    <row r="71" spans="1:16" ht="15.75" hidden="1" x14ac:dyDescent="0.25">
      <c r="A71" s="49" t="s">
        <v>1810</v>
      </c>
      <c r="B71" s="49">
        <v>64</v>
      </c>
      <c r="C71" s="50" t="s">
        <v>1744</v>
      </c>
      <c r="D71" s="51" t="s">
        <v>586</v>
      </c>
      <c r="E71" s="52" t="s">
        <v>587</v>
      </c>
      <c r="F71" s="53"/>
      <c r="G71" s="53">
        <v>6.7539999999999996</v>
      </c>
      <c r="H71" s="53">
        <v>2.5000000000000001E-2</v>
      </c>
      <c r="I71" s="12">
        <f t="shared" si="15"/>
        <v>6.7789999999999999</v>
      </c>
      <c r="J71" s="52">
        <v>3315.904</v>
      </c>
      <c r="K71" s="52"/>
      <c r="L71" s="52">
        <f t="shared" si="21"/>
        <v>3315.904</v>
      </c>
      <c r="M71" s="52">
        <f t="shared" si="22"/>
        <v>489.14353149432071</v>
      </c>
      <c r="N71" s="12" t="e">
        <f t="shared" si="16"/>
        <v>#REF!</v>
      </c>
      <c r="O71" s="12" t="e">
        <f t="shared" si="17"/>
        <v>#REF!</v>
      </c>
      <c r="P71" s="12" t="e">
        <f t="shared" si="18"/>
        <v>#REF!</v>
      </c>
    </row>
    <row r="72" spans="1:16" ht="31.5" hidden="1" x14ac:dyDescent="0.25">
      <c r="A72" s="49" t="s">
        <v>1810</v>
      </c>
      <c r="B72" s="49">
        <v>65</v>
      </c>
      <c r="C72" s="50" t="s">
        <v>1744</v>
      </c>
      <c r="D72" s="51" t="s">
        <v>588</v>
      </c>
      <c r="E72" s="52" t="s">
        <v>589</v>
      </c>
      <c r="F72" s="53"/>
      <c r="G72" s="53">
        <v>7.0309999999999997</v>
      </c>
      <c r="H72" s="53">
        <v>5.7000000000000002E-2</v>
      </c>
      <c r="I72" s="12">
        <f t="shared" si="15"/>
        <v>7.0880000000000001</v>
      </c>
      <c r="J72" s="52">
        <f>7911.226+249.097</f>
        <v>8160.3229999999994</v>
      </c>
      <c r="K72" s="52"/>
      <c r="L72" s="52">
        <f t="shared" si="21"/>
        <v>8160.3229999999994</v>
      </c>
      <c r="M72" s="52">
        <f t="shared" si="22"/>
        <v>1151.2871049661399</v>
      </c>
      <c r="N72" s="12" t="e">
        <f t="shared" si="16"/>
        <v>#REF!</v>
      </c>
      <c r="O72" s="12" t="e">
        <f t="shared" si="17"/>
        <v>#REF!</v>
      </c>
      <c r="P72" s="12" t="e">
        <f t="shared" si="18"/>
        <v>#REF!</v>
      </c>
    </row>
    <row r="73" spans="1:16" ht="31.5" hidden="1" x14ac:dyDescent="0.25">
      <c r="A73" s="49" t="s">
        <v>1810</v>
      </c>
      <c r="B73" s="49">
        <v>66</v>
      </c>
      <c r="C73" s="50" t="s">
        <v>1744</v>
      </c>
      <c r="D73" s="51" t="s">
        <v>590</v>
      </c>
      <c r="E73" s="52" t="s">
        <v>591</v>
      </c>
      <c r="F73" s="53"/>
      <c r="G73" s="53">
        <v>4.3419999999999996</v>
      </c>
      <c r="H73" s="53">
        <v>0.02</v>
      </c>
      <c r="I73" s="12">
        <f t="shared" si="15"/>
        <v>4.3619999999999992</v>
      </c>
      <c r="J73" s="52">
        <f>5086.963+2250.1</f>
        <v>7337.0630000000001</v>
      </c>
      <c r="K73" s="52"/>
      <c r="L73" s="52">
        <f t="shared" si="21"/>
        <v>7337.0630000000001</v>
      </c>
      <c r="M73" s="52">
        <f t="shared" si="22"/>
        <v>1682.0410362219168</v>
      </c>
      <c r="N73" s="12" t="e">
        <f t="shared" si="16"/>
        <v>#REF!</v>
      </c>
      <c r="O73" s="12" t="e">
        <f t="shared" si="17"/>
        <v>#REF!</v>
      </c>
      <c r="P73" s="12" t="e">
        <f t="shared" si="18"/>
        <v>#REF!</v>
      </c>
    </row>
    <row r="74" spans="1:16" ht="31.5" hidden="1" x14ac:dyDescent="0.25">
      <c r="A74" s="49" t="s">
        <v>1810</v>
      </c>
      <c r="B74" s="49">
        <v>67</v>
      </c>
      <c r="C74" s="50" t="s">
        <v>1744</v>
      </c>
      <c r="D74" s="51" t="s">
        <v>592</v>
      </c>
      <c r="E74" s="52" t="s">
        <v>593</v>
      </c>
      <c r="F74" s="53"/>
      <c r="G74" s="53">
        <v>3.1019999999999999</v>
      </c>
      <c r="H74" s="53">
        <v>7.0000000000000001E-3</v>
      </c>
      <c r="I74" s="12">
        <f t="shared" si="15"/>
        <v>3.109</v>
      </c>
      <c r="J74" s="52">
        <f>1508.014+474.632</f>
        <v>1982.646</v>
      </c>
      <c r="K74" s="52"/>
      <c r="L74" s="52">
        <f t="shared" si="21"/>
        <v>1982.646</v>
      </c>
      <c r="M74" s="52">
        <f t="shared" si="22"/>
        <v>637.71180443872629</v>
      </c>
      <c r="N74" s="12" t="e">
        <f t="shared" si="16"/>
        <v>#REF!</v>
      </c>
      <c r="O74" s="12" t="e">
        <f t="shared" si="17"/>
        <v>#REF!</v>
      </c>
      <c r="P74" s="12" t="e">
        <f t="shared" si="18"/>
        <v>#REF!</v>
      </c>
    </row>
    <row r="75" spans="1:16" ht="31.5" hidden="1" x14ac:dyDescent="0.25">
      <c r="A75" s="49" t="s">
        <v>1810</v>
      </c>
      <c r="B75" s="49">
        <v>68</v>
      </c>
      <c r="C75" s="50" t="s">
        <v>1744</v>
      </c>
      <c r="D75" s="51" t="s">
        <v>594</v>
      </c>
      <c r="E75" s="52" t="s">
        <v>595</v>
      </c>
      <c r="F75" s="53"/>
      <c r="G75" s="53">
        <v>15.004</v>
      </c>
      <c r="H75" s="53">
        <v>8.1000000000000003E-2</v>
      </c>
      <c r="I75" s="12">
        <f t="shared" si="15"/>
        <v>15.084999999999999</v>
      </c>
      <c r="J75" s="52">
        <f>10068.366+1074.785</f>
        <v>11143.151</v>
      </c>
      <c r="K75" s="52"/>
      <c r="L75" s="52">
        <f t="shared" si="21"/>
        <v>11143.151</v>
      </c>
      <c r="M75" s="52">
        <f t="shared" si="22"/>
        <v>738.69081869406693</v>
      </c>
      <c r="N75" s="12" t="e">
        <f t="shared" si="16"/>
        <v>#REF!</v>
      </c>
      <c r="O75" s="12" t="e">
        <f t="shared" si="17"/>
        <v>#REF!</v>
      </c>
      <c r="P75" s="12" t="e">
        <f t="shared" si="18"/>
        <v>#REF!</v>
      </c>
    </row>
    <row r="76" spans="1:16" ht="18.75" hidden="1" x14ac:dyDescent="0.25">
      <c r="A76" s="49" t="s">
        <v>1810</v>
      </c>
      <c r="B76" s="49">
        <v>69</v>
      </c>
      <c r="C76" s="12" t="s">
        <v>1744</v>
      </c>
      <c r="D76" s="51" t="s">
        <v>1045</v>
      </c>
      <c r="E76" s="62" t="s">
        <v>1046</v>
      </c>
      <c r="F76" s="53"/>
      <c r="G76" s="53">
        <v>1.72</v>
      </c>
      <c r="H76" s="53">
        <v>0.126</v>
      </c>
      <c r="I76" s="12">
        <f t="shared" si="15"/>
        <v>1.8460000000000001</v>
      </c>
      <c r="J76" s="52">
        <v>1484.5139999999999</v>
      </c>
      <c r="K76" s="52"/>
      <c r="L76" s="52">
        <f>J76+K76</f>
        <v>1484.5139999999999</v>
      </c>
      <c r="M76" s="52">
        <f>L76/I76</f>
        <v>804.17876489707464</v>
      </c>
      <c r="N76" s="12" t="e">
        <f t="shared" si="16"/>
        <v>#REF!</v>
      </c>
      <c r="O76" s="12" t="e">
        <f t="shared" si="17"/>
        <v>#REF!</v>
      </c>
      <c r="P76" s="12" t="e">
        <f t="shared" si="18"/>
        <v>#REF!</v>
      </c>
    </row>
    <row r="77" spans="1:16" s="75" customFormat="1" ht="15.75" hidden="1" x14ac:dyDescent="0.25">
      <c r="A77" s="72" t="s">
        <v>1850</v>
      </c>
      <c r="B77" s="72" t="s">
        <v>1126</v>
      </c>
      <c r="C77" s="73" t="s">
        <v>1161</v>
      </c>
      <c r="D77" s="74"/>
      <c r="E77" s="71" t="s">
        <v>1183</v>
      </c>
      <c r="F77" s="76"/>
      <c r="G77" s="71">
        <f t="shared" ref="G77:L77" si="23">G78+G79+G84+G101</f>
        <v>1040.954</v>
      </c>
      <c r="H77" s="71">
        <f t="shared" si="23"/>
        <v>4.3550000000000004</v>
      </c>
      <c r="I77" s="71">
        <f t="shared" si="23"/>
        <v>1045.3090000000002</v>
      </c>
      <c r="J77" s="71">
        <f t="shared" si="23"/>
        <v>1149214.7829999998</v>
      </c>
      <c r="K77" s="71">
        <f t="shared" si="23"/>
        <v>-9.0949470177292824E-13</v>
      </c>
      <c r="L77" s="71">
        <f t="shared" si="23"/>
        <v>1149214.7830000001</v>
      </c>
      <c r="M77" s="71">
        <f>L77/I77</f>
        <v>1099.4019787450409</v>
      </c>
      <c r="N77" s="71" t="e">
        <f>M77/$M$1429</f>
        <v>#REF!</v>
      </c>
      <c r="O77" s="71" t="e">
        <f>O78+O79+O84+O101</f>
        <v>#REF!</v>
      </c>
      <c r="P77" s="71" t="e">
        <f>P78+P79+P84+P101</f>
        <v>#REF!</v>
      </c>
    </row>
    <row r="78" spans="1:16" ht="15.75" hidden="1" x14ac:dyDescent="0.25">
      <c r="A78" s="14" t="s">
        <v>1850</v>
      </c>
      <c r="B78" s="14" t="s">
        <v>1126</v>
      </c>
      <c r="C78" s="8" t="s">
        <v>1159</v>
      </c>
      <c r="D78" s="28" t="s">
        <v>1851</v>
      </c>
      <c r="E78" s="12" t="s">
        <v>1160</v>
      </c>
      <c r="F78" s="1"/>
      <c r="G78" s="1">
        <v>0</v>
      </c>
      <c r="H78" s="1">
        <v>0</v>
      </c>
      <c r="I78" s="12">
        <f>H78+G78</f>
        <v>0</v>
      </c>
      <c r="J78" s="12"/>
      <c r="K78" s="12"/>
      <c r="L78" s="12"/>
      <c r="M78" s="12"/>
      <c r="N78" s="12"/>
      <c r="O78" s="12"/>
      <c r="P78" s="12"/>
    </row>
    <row r="79" spans="1:16" ht="15.75" hidden="1" x14ac:dyDescent="0.25">
      <c r="A79" s="15" t="s">
        <v>1850</v>
      </c>
      <c r="B79" s="15" t="s">
        <v>1126</v>
      </c>
      <c r="C79" s="10" t="s">
        <v>1127</v>
      </c>
      <c r="D79" s="29"/>
      <c r="E79" s="37" t="s">
        <v>1128</v>
      </c>
      <c r="F79" s="6"/>
      <c r="G79" s="37">
        <f t="shared" ref="G79:L79" si="24">SUM(G80:G83)</f>
        <v>382.85199999999998</v>
      </c>
      <c r="H79" s="37">
        <f>SUM(H80:H83)</f>
        <v>2.7759999999999998</v>
      </c>
      <c r="I79" s="37">
        <f t="shared" si="24"/>
        <v>385.62800000000004</v>
      </c>
      <c r="J79" s="37">
        <f t="shared" si="24"/>
        <v>637790.15499999991</v>
      </c>
      <c r="K79" s="37">
        <f t="shared" si="24"/>
        <v>1955.0575259999994</v>
      </c>
      <c r="L79" s="37">
        <f t="shared" si="24"/>
        <v>639745.21252599999</v>
      </c>
      <c r="M79" s="37">
        <f t="shared" ref="M79:M140" si="25">L79/I79</f>
        <v>1658.9698168338396</v>
      </c>
      <c r="N79" s="37" t="e">
        <f>M79/$M$1429</f>
        <v>#REF!</v>
      </c>
      <c r="O79" s="37" t="e">
        <f>SUM(O80:O83)</f>
        <v>#REF!</v>
      </c>
      <c r="P79" s="37" t="e">
        <f>SUM(P80:P83)</f>
        <v>#REF!</v>
      </c>
    </row>
    <row r="80" spans="1:16" ht="15.75" hidden="1" x14ac:dyDescent="0.25">
      <c r="A80" s="14" t="s">
        <v>1850</v>
      </c>
      <c r="B80" s="14" t="s">
        <v>1811</v>
      </c>
      <c r="C80" s="8" t="s">
        <v>1119</v>
      </c>
      <c r="D80" s="28" t="s">
        <v>1852</v>
      </c>
      <c r="E80" s="12" t="s">
        <v>1163</v>
      </c>
      <c r="F80" s="1"/>
      <c r="G80" s="1">
        <v>217.03299999999999</v>
      </c>
      <c r="H80" s="1">
        <v>1.925</v>
      </c>
      <c r="I80" s="12">
        <f>H80+G80</f>
        <v>218.958</v>
      </c>
      <c r="J80" s="12">
        <v>417946.59499999997</v>
      </c>
      <c r="K80" s="12">
        <f>511.97968*0.6+827.92025*0.6+263.79559*0.6+502.55684*0.6+216.83016*0.6+620.6388*0.6+370.98602*0.6+183.4961*0.6+306.20611*0.6+360.86165*0.6+399.52034*0.6+277.73743*0.6+234.65231*0.6+203.17834*0.6+203.76511*0.6</f>
        <v>3290.4748379999996</v>
      </c>
      <c r="L80" s="12">
        <f>J80+K80</f>
        <v>421237.069838</v>
      </c>
      <c r="M80" s="12">
        <f t="shared" si="25"/>
        <v>1923.8258928104933</v>
      </c>
      <c r="N80" s="12" t="e">
        <f>M80/$M$1431</f>
        <v>#REF!</v>
      </c>
      <c r="O80" s="12" t="e">
        <f>ROUND(IF(N80&lt;110%,0,(M80-$M$1431*1.1)*0.8)*I80,1)</f>
        <v>#REF!</v>
      </c>
      <c r="P80" s="12" t="e">
        <f>ROUND(IF(N80&gt;90%,0,(-M80+$M$1431*0.9)*0.8)*I80,1)</f>
        <v>#REF!</v>
      </c>
    </row>
    <row r="81" spans="1:16" ht="15.75" hidden="1" x14ac:dyDescent="0.25">
      <c r="A81" s="14" t="s">
        <v>1850</v>
      </c>
      <c r="B81" s="14" t="s">
        <v>1810</v>
      </c>
      <c r="C81" s="8" t="s">
        <v>1119</v>
      </c>
      <c r="D81" s="28" t="s">
        <v>1853</v>
      </c>
      <c r="E81" s="12" t="s">
        <v>1164</v>
      </c>
      <c r="F81" s="1"/>
      <c r="G81" s="1">
        <v>39.140999999999998</v>
      </c>
      <c r="H81" s="1">
        <v>0.14499999999999999</v>
      </c>
      <c r="I81" s="12">
        <f>H81+G81</f>
        <v>39.286000000000001</v>
      </c>
      <c r="J81" s="12">
        <v>81750.061000000002</v>
      </c>
      <c r="K81" s="12">
        <f>-511.97968*0.6</f>
        <v>-307.18780799999996</v>
      </c>
      <c r="L81" s="12">
        <f>J81+K81</f>
        <v>81442.873191999999</v>
      </c>
      <c r="M81" s="12">
        <f t="shared" si="25"/>
        <v>2073.0762406964313</v>
      </c>
      <c r="N81" s="12" t="e">
        <f>M81/$M$1431</f>
        <v>#REF!</v>
      </c>
      <c r="O81" s="12" t="e">
        <f>ROUND(IF(N81&lt;110%,0,(M81-$M$1431*1.1)*0.8)*I81,1)</f>
        <v>#REF!</v>
      </c>
      <c r="P81" s="12" t="e">
        <f>ROUND(IF(N81&gt;90%,0,(-M81+$M$1431*0.9)*0.8)*I81,1)</f>
        <v>#REF!</v>
      </c>
    </row>
    <row r="82" spans="1:16" ht="15.75" hidden="1" x14ac:dyDescent="0.25">
      <c r="A82" s="14" t="s">
        <v>1850</v>
      </c>
      <c r="B82" s="14" t="s">
        <v>1850</v>
      </c>
      <c r="C82" s="8" t="s">
        <v>1119</v>
      </c>
      <c r="D82" s="28" t="s">
        <v>1854</v>
      </c>
      <c r="E82" s="12" t="s">
        <v>1165</v>
      </c>
      <c r="F82" s="1"/>
      <c r="G82" s="1">
        <v>69.293999999999997</v>
      </c>
      <c r="H82" s="1">
        <v>0.249</v>
      </c>
      <c r="I82" s="12">
        <f>H82+G82</f>
        <v>69.542999999999992</v>
      </c>
      <c r="J82" s="12">
        <v>81502.785999999993</v>
      </c>
      <c r="K82" s="12">
        <f>-67.9-73-83.2-76.7-72.4-827.92025*0.6</f>
        <v>-869.95215000000007</v>
      </c>
      <c r="L82" s="12">
        <f>J82+K82</f>
        <v>80632.833849999995</v>
      </c>
      <c r="M82" s="12">
        <f t="shared" si="25"/>
        <v>1159.4672914599601</v>
      </c>
      <c r="N82" s="12" t="e">
        <f>M82/$M$1431</f>
        <v>#REF!</v>
      </c>
      <c r="O82" s="12" t="e">
        <f>ROUND(IF(N82&lt;110%,0,(M82-$M$1431*1.1)*0.8)*I82,1)</f>
        <v>#REF!</v>
      </c>
      <c r="P82" s="12" t="e">
        <f>ROUND(IF(N82&gt;90%,0,(-M82+$M$1431*0.9)*0.8)*I82,1)</f>
        <v>#REF!</v>
      </c>
    </row>
    <row r="83" spans="1:16" ht="15.75" hidden="1" x14ac:dyDescent="0.25">
      <c r="A83" s="14" t="s">
        <v>1850</v>
      </c>
      <c r="B83" s="14" t="s">
        <v>1855</v>
      </c>
      <c r="C83" s="8" t="s">
        <v>1119</v>
      </c>
      <c r="D83" s="28" t="s">
        <v>1856</v>
      </c>
      <c r="E83" s="12" t="s">
        <v>1166</v>
      </c>
      <c r="F83" s="1"/>
      <c r="G83" s="1">
        <v>57.384</v>
      </c>
      <c r="H83" s="1">
        <v>0.45700000000000002</v>
      </c>
      <c r="I83" s="12">
        <f>H83+G83</f>
        <v>57.841000000000001</v>
      </c>
      <c r="J83" s="12">
        <v>56590.713000000003</v>
      </c>
      <c r="K83" s="12">
        <f>-263.79559*0.6</f>
        <v>-158.277354</v>
      </c>
      <c r="L83" s="12">
        <f>J83+K83</f>
        <v>56432.435646000005</v>
      </c>
      <c r="M83" s="12">
        <f t="shared" si="25"/>
        <v>975.6476486575267</v>
      </c>
      <c r="N83" s="12" t="e">
        <f>M83/$M$1431</f>
        <v>#REF!</v>
      </c>
      <c r="O83" s="12" t="e">
        <f>ROUND(IF(N83&lt;110%,0,(M83-$M$1431*1.1)*0.8)*I83,1)</f>
        <v>#REF!</v>
      </c>
      <c r="P83" s="12" t="e">
        <f>ROUND(IF(N83&gt;90%,0,(-M83+$M$1431*0.9)*0.8)*I83,1)</f>
        <v>#REF!</v>
      </c>
    </row>
    <row r="84" spans="1:16" ht="15.75" hidden="1" x14ac:dyDescent="0.25">
      <c r="A84" s="15" t="s">
        <v>1850</v>
      </c>
      <c r="B84" s="15" t="s">
        <v>1126</v>
      </c>
      <c r="C84" s="10" t="s">
        <v>1157</v>
      </c>
      <c r="D84" s="29"/>
      <c r="E84" s="37" t="s">
        <v>1158</v>
      </c>
      <c r="F84" s="6"/>
      <c r="G84" s="37">
        <f t="shared" ref="G84:L84" si="26">SUM(G85:G100)</f>
        <v>385.77200000000011</v>
      </c>
      <c r="H84" s="37">
        <f>SUM(H85:H100)</f>
        <v>0.88800000000000012</v>
      </c>
      <c r="I84" s="37">
        <f t="shared" si="26"/>
        <v>386.65999999999997</v>
      </c>
      <c r="J84" s="37">
        <f t="shared" si="26"/>
        <v>259863.58903399995</v>
      </c>
      <c r="K84" s="37">
        <f t="shared" si="26"/>
        <v>-2328.2575260000003</v>
      </c>
      <c r="L84" s="37">
        <f t="shared" si="26"/>
        <v>257535.33150799997</v>
      </c>
      <c r="M84" s="37">
        <f t="shared" si="25"/>
        <v>666.05113409196713</v>
      </c>
      <c r="N84" s="37" t="e">
        <f>M84/$M$1429</f>
        <v>#REF!</v>
      </c>
      <c r="O84" s="37" t="e">
        <f>SUM(O85:O100)</f>
        <v>#REF!</v>
      </c>
      <c r="P84" s="37" t="e">
        <f>SUM(P85:P100)</f>
        <v>#REF!</v>
      </c>
    </row>
    <row r="85" spans="1:16" ht="15.75" hidden="1" x14ac:dyDescent="0.25">
      <c r="A85" s="14" t="s">
        <v>1850</v>
      </c>
      <c r="B85" s="14" t="s">
        <v>1818</v>
      </c>
      <c r="C85" s="8" t="s">
        <v>1129</v>
      </c>
      <c r="D85" s="28" t="s">
        <v>1857</v>
      </c>
      <c r="E85" s="12" t="s">
        <v>1167</v>
      </c>
      <c r="F85" s="1"/>
      <c r="G85" s="1">
        <v>2.5369999999999999</v>
      </c>
      <c r="H85" s="1">
        <v>4.0000000000000001E-3</v>
      </c>
      <c r="I85" s="12">
        <f t="shared" ref="I85:I100" si="27">H85+G85</f>
        <v>2.5409999999999999</v>
      </c>
      <c r="J85" s="12">
        <f>12141.837-8594.471-2205.297-308.024</f>
        <v>1034.0450000000001</v>
      </c>
      <c r="K85" s="12"/>
      <c r="L85" s="12">
        <f t="shared" ref="L85:L100" si="28">J85+K85</f>
        <v>1034.0450000000001</v>
      </c>
      <c r="M85" s="12">
        <f t="shared" si="25"/>
        <v>406.94411648957106</v>
      </c>
      <c r="N85" s="12" t="e">
        <f t="shared" ref="N85:N100" si="29">M85/$M$1432</f>
        <v>#REF!</v>
      </c>
      <c r="O85" s="12" t="e">
        <f t="shared" ref="O85:O100" si="30">ROUND(IF(N85&lt;110%,0,(M85-$M$1432*1.1)*0.8)*I85,1)</f>
        <v>#REF!</v>
      </c>
      <c r="P85" s="12" t="e">
        <f t="shared" ref="P85:P100" si="31">ROUND(IF(N85&gt;90%,0,(-M85+$M$1432*0.9)*0.8)*I85,1)</f>
        <v>#REF!</v>
      </c>
    </row>
    <row r="86" spans="1:16" ht="15.75" hidden="1" x14ac:dyDescent="0.25">
      <c r="A86" s="14" t="s">
        <v>1850</v>
      </c>
      <c r="B86" s="14" t="s">
        <v>1820</v>
      </c>
      <c r="C86" s="8" t="s">
        <v>1129</v>
      </c>
      <c r="D86" s="28" t="s">
        <v>1858</v>
      </c>
      <c r="E86" s="12" t="s">
        <v>1168</v>
      </c>
      <c r="F86" s="1"/>
      <c r="G86" s="1">
        <v>49.924999999999997</v>
      </c>
      <c r="H86" s="1">
        <v>0.12</v>
      </c>
      <c r="I86" s="12">
        <f t="shared" si="27"/>
        <v>50.044999999999995</v>
      </c>
      <c r="J86" s="12">
        <f>31833.54-2567.75874</f>
        <v>29265.78126</v>
      </c>
      <c r="K86" s="12">
        <f>-502.55684*0.6</f>
        <v>-301.53410400000001</v>
      </c>
      <c r="L86" s="12">
        <f t="shared" si="28"/>
        <v>28964.247156000001</v>
      </c>
      <c r="M86" s="12">
        <f t="shared" si="25"/>
        <v>578.76405547007698</v>
      </c>
      <c r="N86" s="12" t="e">
        <f t="shared" si="29"/>
        <v>#REF!</v>
      </c>
      <c r="O86" s="12" t="e">
        <f t="shared" si="30"/>
        <v>#REF!</v>
      </c>
      <c r="P86" s="12" t="e">
        <f t="shared" si="31"/>
        <v>#REF!</v>
      </c>
    </row>
    <row r="87" spans="1:16" ht="15.75" hidden="1" x14ac:dyDescent="0.25">
      <c r="A87" s="14" t="s">
        <v>1850</v>
      </c>
      <c r="B87" s="14" t="s">
        <v>1822</v>
      </c>
      <c r="C87" s="8" t="s">
        <v>1129</v>
      </c>
      <c r="D87" s="28" t="s">
        <v>1859</v>
      </c>
      <c r="E87" s="12" t="s">
        <v>1169</v>
      </c>
      <c r="F87" s="1"/>
      <c r="G87" s="1">
        <v>9.1929999999999996</v>
      </c>
      <c r="H87" s="1">
        <v>2.1000000000000001E-2</v>
      </c>
      <c r="I87" s="12">
        <f t="shared" si="27"/>
        <v>9.2140000000000004</v>
      </c>
      <c r="J87" s="12">
        <f>12909.653-8556.184</f>
        <v>4353.469000000001</v>
      </c>
      <c r="K87" s="12">
        <f>-216.83016*0.6</f>
        <v>-130.098096</v>
      </c>
      <c r="L87" s="12">
        <f t="shared" si="28"/>
        <v>4223.3709040000012</v>
      </c>
      <c r="M87" s="12">
        <f t="shared" si="25"/>
        <v>458.36454352072946</v>
      </c>
      <c r="N87" s="12" t="e">
        <f t="shared" si="29"/>
        <v>#REF!</v>
      </c>
      <c r="O87" s="12" t="e">
        <f t="shared" si="30"/>
        <v>#REF!</v>
      </c>
      <c r="P87" s="12" t="e">
        <f t="shared" si="31"/>
        <v>#REF!</v>
      </c>
    </row>
    <row r="88" spans="1:16" ht="15.75" hidden="1" x14ac:dyDescent="0.25">
      <c r="A88" s="14" t="s">
        <v>1850</v>
      </c>
      <c r="B88" s="14" t="s">
        <v>1824</v>
      </c>
      <c r="C88" s="8" t="s">
        <v>1129</v>
      </c>
      <c r="D88" s="28" t="s">
        <v>1860</v>
      </c>
      <c r="E88" s="12" t="s">
        <v>1170</v>
      </c>
      <c r="F88" s="1"/>
      <c r="G88" s="1">
        <v>64.201999999999998</v>
      </c>
      <c r="H88" s="1">
        <v>8.1000000000000003E-2</v>
      </c>
      <c r="I88" s="12">
        <f t="shared" si="27"/>
        <v>64.283000000000001</v>
      </c>
      <c r="J88" s="12">
        <v>24157.223999999998</v>
      </c>
      <c r="K88" s="12">
        <f>-620.6388*0.6</f>
        <v>-372.38327999999996</v>
      </c>
      <c r="L88" s="12">
        <f t="shared" si="28"/>
        <v>23784.84072</v>
      </c>
      <c r="M88" s="12">
        <f t="shared" si="25"/>
        <v>370.00203350808147</v>
      </c>
      <c r="N88" s="12" t="e">
        <f t="shared" si="29"/>
        <v>#REF!</v>
      </c>
      <c r="O88" s="12" t="e">
        <f t="shared" si="30"/>
        <v>#REF!</v>
      </c>
      <c r="P88" s="12" t="e">
        <f t="shared" si="31"/>
        <v>#REF!</v>
      </c>
    </row>
    <row r="89" spans="1:16" ht="15.75" hidden="1" x14ac:dyDescent="0.25">
      <c r="A89" s="14" t="s">
        <v>1850</v>
      </c>
      <c r="B89" s="14" t="s">
        <v>1826</v>
      </c>
      <c r="C89" s="8" t="s">
        <v>1129</v>
      </c>
      <c r="D89" s="28" t="s">
        <v>1861</v>
      </c>
      <c r="E89" s="12" t="s">
        <v>1171</v>
      </c>
      <c r="F89" s="1"/>
      <c r="G89" s="1">
        <v>48.777000000000001</v>
      </c>
      <c r="H89" s="1">
        <v>7.2999999999999995E-2</v>
      </c>
      <c r="I89" s="12">
        <f t="shared" si="27"/>
        <v>48.85</v>
      </c>
      <c r="J89" s="12">
        <f>47556.877-7289.572-8659.932</f>
        <v>31607.373</v>
      </c>
      <c r="K89" s="12">
        <f>-370.98602*0.6</f>
        <v>-222.591612</v>
      </c>
      <c r="L89" s="12">
        <f t="shared" si="28"/>
        <v>31384.781387999999</v>
      </c>
      <c r="M89" s="12">
        <f t="shared" si="25"/>
        <v>642.47249514841349</v>
      </c>
      <c r="N89" s="12" t="e">
        <f t="shared" si="29"/>
        <v>#REF!</v>
      </c>
      <c r="O89" s="12" t="e">
        <f t="shared" si="30"/>
        <v>#REF!</v>
      </c>
      <c r="P89" s="12" t="e">
        <f t="shared" si="31"/>
        <v>#REF!</v>
      </c>
    </row>
    <row r="90" spans="1:16" ht="15.75" hidden="1" x14ac:dyDescent="0.25">
      <c r="A90" s="14" t="s">
        <v>1850</v>
      </c>
      <c r="B90" s="14">
        <v>10</v>
      </c>
      <c r="C90" s="8" t="s">
        <v>1129</v>
      </c>
      <c r="D90" s="28" t="s">
        <v>1862</v>
      </c>
      <c r="E90" s="12" t="s">
        <v>1172</v>
      </c>
      <c r="F90" s="1"/>
      <c r="G90" s="1">
        <v>8.5730000000000004</v>
      </c>
      <c r="H90" s="1">
        <v>4.2999999999999997E-2</v>
      </c>
      <c r="I90" s="12">
        <f t="shared" si="27"/>
        <v>8.6159999999999997</v>
      </c>
      <c r="J90" s="12">
        <f>6281.649-2094.691-750.692</f>
        <v>3436.2660000000005</v>
      </c>
      <c r="K90" s="12"/>
      <c r="L90" s="12">
        <f t="shared" si="28"/>
        <v>3436.2660000000005</v>
      </c>
      <c r="M90" s="12">
        <f t="shared" si="25"/>
        <v>398.82381615598894</v>
      </c>
      <c r="N90" s="12" t="e">
        <f t="shared" si="29"/>
        <v>#REF!</v>
      </c>
      <c r="O90" s="12" t="e">
        <f t="shared" si="30"/>
        <v>#REF!</v>
      </c>
      <c r="P90" s="12" t="e">
        <f t="shared" si="31"/>
        <v>#REF!</v>
      </c>
    </row>
    <row r="91" spans="1:16" ht="15.75" hidden="1" x14ac:dyDescent="0.25">
      <c r="A91" s="14" t="s">
        <v>1850</v>
      </c>
      <c r="B91" s="14">
        <v>11</v>
      </c>
      <c r="C91" s="8" t="s">
        <v>1129</v>
      </c>
      <c r="D91" s="28" t="s">
        <v>1863</v>
      </c>
      <c r="E91" s="12" t="s">
        <v>1173</v>
      </c>
      <c r="F91" s="1"/>
      <c r="G91" s="1">
        <v>18.241</v>
      </c>
      <c r="H91" s="1">
        <v>2.3E-2</v>
      </c>
      <c r="I91" s="12">
        <f t="shared" si="27"/>
        <v>18.263999999999999</v>
      </c>
      <c r="J91" s="12">
        <f>14513.143-2357.672226</f>
        <v>12155.470773999999</v>
      </c>
      <c r="K91" s="12">
        <f>-183.4961*0.6</f>
        <v>-110.09766</v>
      </c>
      <c r="L91" s="12">
        <f t="shared" si="28"/>
        <v>12045.373114</v>
      </c>
      <c r="M91" s="12">
        <f t="shared" si="25"/>
        <v>659.51451565922036</v>
      </c>
      <c r="N91" s="12" t="e">
        <f t="shared" si="29"/>
        <v>#REF!</v>
      </c>
      <c r="O91" s="12" t="e">
        <f t="shared" si="30"/>
        <v>#REF!</v>
      </c>
      <c r="P91" s="12" t="e">
        <f t="shared" si="31"/>
        <v>#REF!</v>
      </c>
    </row>
    <row r="92" spans="1:16" ht="15.75" hidden="1" x14ac:dyDescent="0.25">
      <c r="A92" s="14" t="s">
        <v>1850</v>
      </c>
      <c r="B92" s="14">
        <v>12</v>
      </c>
      <c r="C92" s="8" t="s">
        <v>1129</v>
      </c>
      <c r="D92" s="28" t="s">
        <v>1864</v>
      </c>
      <c r="E92" s="12" t="s">
        <v>1174</v>
      </c>
      <c r="F92" s="1"/>
      <c r="G92" s="1">
        <v>37.511000000000003</v>
      </c>
      <c r="H92" s="1">
        <v>0.215</v>
      </c>
      <c r="I92" s="12">
        <f t="shared" si="27"/>
        <v>37.726000000000006</v>
      </c>
      <c r="J92" s="12">
        <f>134733.438-6737.482-61287.791-1601.891</f>
        <v>65106.27399999999</v>
      </c>
      <c r="K92" s="12"/>
      <c r="L92" s="12">
        <f t="shared" si="28"/>
        <v>65106.27399999999</v>
      </c>
      <c r="M92" s="12">
        <f t="shared" si="25"/>
        <v>1725.7666861050729</v>
      </c>
      <c r="N92" s="12" t="e">
        <f t="shared" si="29"/>
        <v>#REF!</v>
      </c>
      <c r="O92" s="12" t="e">
        <f t="shared" si="30"/>
        <v>#REF!</v>
      </c>
      <c r="P92" s="12" t="e">
        <f t="shared" si="31"/>
        <v>#REF!</v>
      </c>
    </row>
    <row r="93" spans="1:16" ht="15.75" hidden="1" x14ac:dyDescent="0.25">
      <c r="A93" s="14" t="s">
        <v>1850</v>
      </c>
      <c r="B93" s="14">
        <v>13</v>
      </c>
      <c r="C93" s="8" t="s">
        <v>1129</v>
      </c>
      <c r="D93" s="28" t="s">
        <v>1865</v>
      </c>
      <c r="E93" s="12" t="s">
        <v>1175</v>
      </c>
      <c r="F93" s="1"/>
      <c r="G93" s="1">
        <v>7.0970000000000004</v>
      </c>
      <c r="H93" s="1">
        <v>7.0000000000000001E-3</v>
      </c>
      <c r="I93" s="12">
        <f t="shared" si="27"/>
        <v>7.1040000000000001</v>
      </c>
      <c r="J93" s="12">
        <f>16382.408-14350.01</f>
        <v>2032.3979999999992</v>
      </c>
      <c r="K93" s="12">
        <f>-306.20611*0.6</f>
        <v>-183.72366600000001</v>
      </c>
      <c r="L93" s="12">
        <f t="shared" si="28"/>
        <v>1848.6743339999991</v>
      </c>
      <c r="M93" s="12">
        <f t="shared" si="25"/>
        <v>260.2300582770269</v>
      </c>
      <c r="N93" s="12" t="e">
        <f t="shared" si="29"/>
        <v>#REF!</v>
      </c>
      <c r="O93" s="12" t="e">
        <f t="shared" si="30"/>
        <v>#REF!</v>
      </c>
      <c r="P93" s="12" t="e">
        <f t="shared" si="31"/>
        <v>#REF!</v>
      </c>
    </row>
    <row r="94" spans="1:16" ht="15.75" hidden="1" x14ac:dyDescent="0.25">
      <c r="A94" s="14" t="s">
        <v>1850</v>
      </c>
      <c r="B94" s="14">
        <v>14</v>
      </c>
      <c r="C94" s="8" t="s">
        <v>1129</v>
      </c>
      <c r="D94" s="28" t="s">
        <v>1866</v>
      </c>
      <c r="E94" s="12" t="s">
        <v>1176</v>
      </c>
      <c r="F94" s="1"/>
      <c r="G94" s="1">
        <v>4.8079999999999998</v>
      </c>
      <c r="H94" s="1">
        <v>7.0000000000000001E-3</v>
      </c>
      <c r="I94" s="12">
        <f t="shared" si="27"/>
        <v>4.8149999999999995</v>
      </c>
      <c r="J94" s="12">
        <f>26717.803-3546.285-5451.416-1749.72-13825.164</f>
        <v>2145.2179999999989</v>
      </c>
      <c r="K94" s="12">
        <f>-360.86165*0.6</f>
        <v>-216.51698999999999</v>
      </c>
      <c r="L94" s="12">
        <f t="shared" si="28"/>
        <v>1928.7010099999989</v>
      </c>
      <c r="M94" s="12">
        <f t="shared" si="25"/>
        <v>400.56095742471422</v>
      </c>
      <c r="N94" s="12" t="e">
        <f t="shared" si="29"/>
        <v>#REF!</v>
      </c>
      <c r="O94" s="12" t="e">
        <f t="shared" si="30"/>
        <v>#REF!</v>
      </c>
      <c r="P94" s="12" t="e">
        <f t="shared" si="31"/>
        <v>#REF!</v>
      </c>
    </row>
    <row r="95" spans="1:16" ht="15.75" hidden="1" x14ac:dyDescent="0.25">
      <c r="A95" s="14" t="s">
        <v>1850</v>
      </c>
      <c r="B95" s="14">
        <v>15</v>
      </c>
      <c r="C95" s="8" t="s">
        <v>1129</v>
      </c>
      <c r="D95" s="28" t="s">
        <v>1867</v>
      </c>
      <c r="E95" s="12" t="s">
        <v>1177</v>
      </c>
      <c r="F95" s="1"/>
      <c r="G95" s="1">
        <v>35.625</v>
      </c>
      <c r="H95" s="1">
        <v>0.10299999999999999</v>
      </c>
      <c r="I95" s="12">
        <f t="shared" si="27"/>
        <v>35.728000000000002</v>
      </c>
      <c r="J95" s="12">
        <f>30280.338-5820.846</f>
        <v>24459.491999999998</v>
      </c>
      <c r="K95" s="12">
        <f>-399.52034*0.6</f>
        <v>-239.71220399999999</v>
      </c>
      <c r="L95" s="12">
        <f t="shared" si="28"/>
        <v>24219.779795999999</v>
      </c>
      <c r="M95" s="12">
        <f t="shared" si="25"/>
        <v>677.89352317510065</v>
      </c>
      <c r="N95" s="12" t="e">
        <f t="shared" si="29"/>
        <v>#REF!</v>
      </c>
      <c r="O95" s="12" t="e">
        <f t="shared" si="30"/>
        <v>#REF!</v>
      </c>
      <c r="P95" s="12" t="e">
        <f t="shared" si="31"/>
        <v>#REF!</v>
      </c>
    </row>
    <row r="96" spans="1:16" ht="15.75" hidden="1" x14ac:dyDescent="0.25">
      <c r="A96" s="14" t="s">
        <v>1850</v>
      </c>
      <c r="B96" s="14">
        <v>16</v>
      </c>
      <c r="C96" s="8" t="s">
        <v>1129</v>
      </c>
      <c r="D96" s="28" t="s">
        <v>1868</v>
      </c>
      <c r="E96" s="12" t="s">
        <v>1178</v>
      </c>
      <c r="F96" s="1"/>
      <c r="G96" s="1">
        <v>24.667000000000002</v>
      </c>
      <c r="H96" s="1">
        <v>2.1000000000000001E-2</v>
      </c>
      <c r="I96" s="12">
        <f t="shared" si="27"/>
        <v>24.688000000000002</v>
      </c>
      <c r="J96" s="12">
        <f>20646.807-2160.214-1593.75-655.832</f>
        <v>16237.011</v>
      </c>
      <c r="K96" s="12">
        <f>-277.73743*0.6</f>
        <v>-166.642458</v>
      </c>
      <c r="L96" s="12">
        <f t="shared" si="28"/>
        <v>16070.368542</v>
      </c>
      <c r="M96" s="12">
        <f t="shared" si="25"/>
        <v>650.93845358068688</v>
      </c>
      <c r="N96" s="12" t="e">
        <f t="shared" si="29"/>
        <v>#REF!</v>
      </c>
      <c r="O96" s="12" t="e">
        <f t="shared" si="30"/>
        <v>#REF!</v>
      </c>
      <c r="P96" s="12" t="e">
        <f t="shared" si="31"/>
        <v>#REF!</v>
      </c>
    </row>
    <row r="97" spans="1:16" ht="15.75" hidden="1" x14ac:dyDescent="0.25">
      <c r="A97" s="14" t="s">
        <v>1850</v>
      </c>
      <c r="B97" s="14">
        <v>17</v>
      </c>
      <c r="C97" s="8" t="s">
        <v>1129</v>
      </c>
      <c r="D97" s="28" t="s">
        <v>1869</v>
      </c>
      <c r="E97" s="12" t="s">
        <v>1179</v>
      </c>
      <c r="F97" s="1"/>
      <c r="G97" s="1">
        <v>33.902999999999999</v>
      </c>
      <c r="H97" s="1">
        <v>6.8000000000000005E-2</v>
      </c>
      <c r="I97" s="12">
        <f t="shared" si="27"/>
        <v>33.970999999999997</v>
      </c>
      <c r="J97" s="12">
        <f>24891.353-1018.954</f>
        <v>23872.398999999998</v>
      </c>
      <c r="K97" s="12">
        <f>-234.65231*0.6</f>
        <v>-140.79138599999999</v>
      </c>
      <c r="L97" s="12">
        <f t="shared" si="28"/>
        <v>23731.607613999997</v>
      </c>
      <c r="M97" s="12">
        <f t="shared" si="25"/>
        <v>698.58431055900621</v>
      </c>
      <c r="N97" s="12" t="e">
        <f t="shared" si="29"/>
        <v>#REF!</v>
      </c>
      <c r="O97" s="12" t="e">
        <f t="shared" si="30"/>
        <v>#REF!</v>
      </c>
      <c r="P97" s="12" t="e">
        <f t="shared" si="31"/>
        <v>#REF!</v>
      </c>
    </row>
    <row r="98" spans="1:16" ht="15.75" hidden="1" x14ac:dyDescent="0.25">
      <c r="A98" s="14" t="s">
        <v>1850</v>
      </c>
      <c r="B98" s="14">
        <v>18</v>
      </c>
      <c r="C98" s="8" t="s">
        <v>1129</v>
      </c>
      <c r="D98" s="28" t="s">
        <v>1870</v>
      </c>
      <c r="E98" s="12" t="s">
        <v>1180</v>
      </c>
      <c r="F98" s="1"/>
      <c r="G98" s="1">
        <v>19.088999999999999</v>
      </c>
      <c r="H98" s="1">
        <v>0.04</v>
      </c>
      <c r="I98" s="12">
        <f t="shared" si="27"/>
        <v>19.128999999999998</v>
      </c>
      <c r="J98" s="12">
        <f>14089.243-1970.908-869.769-760.408</f>
        <v>10488.158000000001</v>
      </c>
      <c r="K98" s="12">
        <f>-203.17834*0.6</f>
        <v>-121.90700399999999</v>
      </c>
      <c r="L98" s="12">
        <f t="shared" si="28"/>
        <v>10366.250996000001</v>
      </c>
      <c r="M98" s="12">
        <f t="shared" si="25"/>
        <v>541.91285461864197</v>
      </c>
      <c r="N98" s="12" t="e">
        <f t="shared" si="29"/>
        <v>#REF!</v>
      </c>
      <c r="O98" s="12" t="e">
        <f t="shared" si="30"/>
        <v>#REF!</v>
      </c>
      <c r="P98" s="12" t="e">
        <f t="shared" si="31"/>
        <v>#REF!</v>
      </c>
    </row>
    <row r="99" spans="1:16" ht="15.75" hidden="1" x14ac:dyDescent="0.25">
      <c r="A99" s="14" t="s">
        <v>1850</v>
      </c>
      <c r="B99" s="14">
        <v>19</v>
      </c>
      <c r="C99" s="8" t="s">
        <v>1129</v>
      </c>
      <c r="D99" s="28" t="s">
        <v>1871</v>
      </c>
      <c r="E99" s="12" t="s">
        <v>1181</v>
      </c>
      <c r="F99" s="1"/>
      <c r="G99" s="1">
        <v>13.433999999999999</v>
      </c>
      <c r="H99" s="1">
        <v>3.3000000000000002E-2</v>
      </c>
      <c r="I99" s="12">
        <f t="shared" si="27"/>
        <v>13.466999999999999</v>
      </c>
      <c r="J99" s="12">
        <f>17629.822-2229.805-9629.974-104.208</f>
        <v>5665.835</v>
      </c>
      <c r="K99" s="12">
        <f>-203.76511*0.6</f>
        <v>-122.25906599999999</v>
      </c>
      <c r="L99" s="12">
        <f t="shared" si="28"/>
        <v>5543.5759340000004</v>
      </c>
      <c r="M99" s="12">
        <f t="shared" si="25"/>
        <v>411.64148912155645</v>
      </c>
      <c r="N99" s="12" t="e">
        <f t="shared" si="29"/>
        <v>#REF!</v>
      </c>
      <c r="O99" s="12" t="e">
        <f t="shared" si="30"/>
        <v>#REF!</v>
      </c>
      <c r="P99" s="12" t="e">
        <f t="shared" si="31"/>
        <v>#REF!</v>
      </c>
    </row>
    <row r="100" spans="1:16" ht="15.75" hidden="1" x14ac:dyDescent="0.25">
      <c r="A100" s="14" t="s">
        <v>1850</v>
      </c>
      <c r="B100" s="14">
        <v>20</v>
      </c>
      <c r="C100" s="8" t="s">
        <v>1129</v>
      </c>
      <c r="D100" s="28" t="s">
        <v>1872</v>
      </c>
      <c r="E100" s="12" t="s">
        <v>1182</v>
      </c>
      <c r="F100" s="1"/>
      <c r="G100" s="1">
        <v>8.19</v>
      </c>
      <c r="H100" s="1">
        <v>2.9000000000000001E-2</v>
      </c>
      <c r="I100" s="12">
        <f t="shared" si="27"/>
        <v>8.2189999999999994</v>
      </c>
      <c r="J100" s="12">
        <v>3847.1750000000002</v>
      </c>
      <c r="K100" s="12"/>
      <c r="L100" s="12">
        <f t="shared" si="28"/>
        <v>3847.1750000000002</v>
      </c>
      <c r="M100" s="12">
        <f t="shared" si="25"/>
        <v>468.0831001338363</v>
      </c>
      <c r="N100" s="12" t="e">
        <f t="shared" si="29"/>
        <v>#REF!</v>
      </c>
      <c r="O100" s="12" t="e">
        <f t="shared" si="30"/>
        <v>#REF!</v>
      </c>
      <c r="P100" s="12" t="e">
        <f t="shared" si="31"/>
        <v>#REF!</v>
      </c>
    </row>
    <row r="101" spans="1:16" ht="15.75" hidden="1" x14ac:dyDescent="0.25">
      <c r="A101" s="15" t="s">
        <v>1850</v>
      </c>
      <c r="B101" s="15"/>
      <c r="C101" s="10" t="s">
        <v>1743</v>
      </c>
      <c r="D101" s="29"/>
      <c r="E101" s="37" t="s">
        <v>1747</v>
      </c>
      <c r="F101" s="6"/>
      <c r="G101" s="37">
        <f t="shared" ref="G101:L101" si="32">SUM(G102:G141)</f>
        <v>272.33</v>
      </c>
      <c r="H101" s="37">
        <f>SUM(H102:H141)</f>
        <v>0.69100000000000028</v>
      </c>
      <c r="I101" s="37">
        <f t="shared" si="32"/>
        <v>273.02100000000007</v>
      </c>
      <c r="J101" s="37">
        <f t="shared" si="32"/>
        <v>251561.03896599996</v>
      </c>
      <c r="K101" s="37">
        <f t="shared" si="32"/>
        <v>373.20000000000005</v>
      </c>
      <c r="L101" s="37">
        <f t="shared" si="32"/>
        <v>251934.23896599998</v>
      </c>
      <c r="M101" s="37">
        <f t="shared" si="25"/>
        <v>922.76505824094079</v>
      </c>
      <c r="N101" s="37" t="e">
        <f>M101/$M$1429</f>
        <v>#REF!</v>
      </c>
      <c r="O101" s="37" t="e">
        <f>SUM(O102:O141)</f>
        <v>#REF!</v>
      </c>
      <c r="P101" s="37" t="e">
        <f>SUM(P102:P141)</f>
        <v>#REF!</v>
      </c>
    </row>
    <row r="102" spans="1:16" ht="15.75" hidden="1" x14ac:dyDescent="0.25">
      <c r="A102" s="14" t="s">
        <v>1850</v>
      </c>
      <c r="B102" s="14">
        <v>21</v>
      </c>
      <c r="C102" s="8" t="s">
        <v>1744</v>
      </c>
      <c r="D102" s="28" t="s">
        <v>1873</v>
      </c>
      <c r="E102" s="12" t="s">
        <v>1874</v>
      </c>
      <c r="F102" s="1"/>
      <c r="G102" s="1">
        <v>4.0090000000000003</v>
      </c>
      <c r="H102" s="1">
        <v>7.0000000000000001E-3</v>
      </c>
      <c r="I102" s="12">
        <f t="shared" ref="I102:I141" si="33">H102+G102</f>
        <v>4.016</v>
      </c>
      <c r="J102" s="12">
        <v>1194.808</v>
      </c>
      <c r="K102" s="12">
        <v>67.900000000000006</v>
      </c>
      <c r="L102" s="12">
        <f t="shared" ref="L102:L140" si="34">J102+K102</f>
        <v>1262.7080000000001</v>
      </c>
      <c r="M102" s="12">
        <f t="shared" si="25"/>
        <v>314.41932270916334</v>
      </c>
      <c r="N102" s="12" t="e">
        <f t="shared" ref="N102:N141" si="35">M102/$M$1433</f>
        <v>#REF!</v>
      </c>
      <c r="O102" s="12" t="e">
        <f t="shared" ref="O102:O141" si="36">ROUND(IF(N102&lt;110%,0,(M102-$M$1433*1.1)*0.8)*I102,1)</f>
        <v>#REF!</v>
      </c>
      <c r="P102" s="12" t="e">
        <f t="shared" ref="P102:P141" si="37">ROUND(IF(N102&gt;90%,0,(-M102+$M$1433*0.9)*0.8)*I102,1)</f>
        <v>#REF!</v>
      </c>
    </row>
    <row r="103" spans="1:16" ht="15.75" hidden="1" x14ac:dyDescent="0.25">
      <c r="A103" s="14" t="s">
        <v>1850</v>
      </c>
      <c r="B103" s="14">
        <v>22</v>
      </c>
      <c r="C103" s="8" t="s">
        <v>1744</v>
      </c>
      <c r="D103" s="28" t="s">
        <v>1875</v>
      </c>
      <c r="E103" s="12" t="s">
        <v>1876</v>
      </c>
      <c r="F103" s="1"/>
      <c r="G103" s="1">
        <v>8.6539999999999999</v>
      </c>
      <c r="H103" s="1">
        <v>1.7000000000000001E-2</v>
      </c>
      <c r="I103" s="12">
        <f t="shared" si="33"/>
        <v>8.6709999999999994</v>
      </c>
      <c r="J103" s="12">
        <f>3858.841+750.692</f>
        <v>4609.5329999999994</v>
      </c>
      <c r="K103" s="12">
        <v>73</v>
      </c>
      <c r="L103" s="66">
        <f t="shared" si="34"/>
        <v>4682.5329999999994</v>
      </c>
      <c r="M103" s="12">
        <f t="shared" si="25"/>
        <v>540.02225810171831</v>
      </c>
      <c r="N103" s="12" t="e">
        <f t="shared" si="35"/>
        <v>#REF!</v>
      </c>
      <c r="O103" s="12" t="e">
        <f t="shared" si="36"/>
        <v>#REF!</v>
      </c>
      <c r="P103" s="12" t="e">
        <f t="shared" si="37"/>
        <v>#REF!</v>
      </c>
    </row>
    <row r="104" spans="1:16" ht="15.75" hidden="1" x14ac:dyDescent="0.25">
      <c r="A104" s="14" t="s">
        <v>1850</v>
      </c>
      <c r="B104" s="14">
        <v>23</v>
      </c>
      <c r="C104" s="8" t="s">
        <v>1744</v>
      </c>
      <c r="D104" s="28" t="s">
        <v>1877</v>
      </c>
      <c r="E104" s="12" t="s">
        <v>1878</v>
      </c>
      <c r="F104" s="1"/>
      <c r="G104" s="1">
        <v>6.4420000000000002</v>
      </c>
      <c r="H104" s="1">
        <v>1.6E-2</v>
      </c>
      <c r="I104" s="12">
        <f t="shared" si="33"/>
        <v>6.4580000000000002</v>
      </c>
      <c r="J104" s="12">
        <f>2165.769+308.024</f>
        <v>2473.7929999999997</v>
      </c>
      <c r="K104" s="12"/>
      <c r="L104" s="12">
        <f t="shared" si="34"/>
        <v>2473.7929999999997</v>
      </c>
      <c r="M104" s="12">
        <f t="shared" si="25"/>
        <v>383.05868689996896</v>
      </c>
      <c r="N104" s="12" t="e">
        <f t="shared" si="35"/>
        <v>#REF!</v>
      </c>
      <c r="O104" s="12" t="e">
        <f t="shared" si="36"/>
        <v>#REF!</v>
      </c>
      <c r="P104" s="12" t="e">
        <f t="shared" si="37"/>
        <v>#REF!</v>
      </c>
    </row>
    <row r="105" spans="1:16" ht="15.75" hidden="1" x14ac:dyDescent="0.25">
      <c r="A105" s="14" t="s">
        <v>1850</v>
      </c>
      <c r="B105" s="14">
        <v>24</v>
      </c>
      <c r="C105" s="8" t="s">
        <v>1744</v>
      </c>
      <c r="D105" s="28" t="s">
        <v>1879</v>
      </c>
      <c r="E105" s="12" t="s">
        <v>1880</v>
      </c>
      <c r="F105" s="1"/>
      <c r="G105" s="1">
        <v>1.9119999999999999</v>
      </c>
      <c r="H105" s="1">
        <v>0</v>
      </c>
      <c r="I105" s="12">
        <f t="shared" si="33"/>
        <v>1.9119999999999999</v>
      </c>
      <c r="J105" s="12">
        <v>3777.308</v>
      </c>
      <c r="K105" s="12"/>
      <c r="L105" s="12">
        <f t="shared" si="34"/>
        <v>3777.308</v>
      </c>
      <c r="M105" s="12">
        <f t="shared" si="25"/>
        <v>1975.5794979079499</v>
      </c>
      <c r="N105" s="12" t="e">
        <f t="shared" si="35"/>
        <v>#REF!</v>
      </c>
      <c r="O105" s="12" t="e">
        <f t="shared" si="36"/>
        <v>#REF!</v>
      </c>
      <c r="P105" s="12" t="e">
        <f t="shared" si="37"/>
        <v>#REF!</v>
      </c>
    </row>
    <row r="106" spans="1:16" ht="15.75" hidden="1" x14ac:dyDescent="0.25">
      <c r="A106" s="14" t="s">
        <v>1850</v>
      </c>
      <c r="B106" s="14">
        <v>25</v>
      </c>
      <c r="C106" s="8" t="s">
        <v>1744</v>
      </c>
      <c r="D106" s="28" t="s">
        <v>1881</v>
      </c>
      <c r="E106" s="12" t="s">
        <v>1882</v>
      </c>
      <c r="F106" s="1"/>
      <c r="G106" s="1">
        <v>7.6029999999999998</v>
      </c>
      <c r="H106" s="1">
        <v>2.1000000000000001E-2</v>
      </c>
      <c r="I106" s="12">
        <f t="shared" si="33"/>
        <v>7.6239999999999997</v>
      </c>
      <c r="J106" s="12">
        <v>4244.1350000000002</v>
      </c>
      <c r="K106" s="12"/>
      <c r="L106" s="12">
        <f t="shared" si="34"/>
        <v>4244.1350000000002</v>
      </c>
      <c r="M106" s="12">
        <f t="shared" si="25"/>
        <v>556.68087618048276</v>
      </c>
      <c r="N106" s="12" t="e">
        <f t="shared" si="35"/>
        <v>#REF!</v>
      </c>
      <c r="O106" s="12" t="e">
        <f t="shared" si="36"/>
        <v>#REF!</v>
      </c>
      <c r="P106" s="12" t="e">
        <f t="shared" si="37"/>
        <v>#REF!</v>
      </c>
    </row>
    <row r="107" spans="1:16" ht="15.75" hidden="1" x14ac:dyDescent="0.25">
      <c r="A107" s="14" t="s">
        <v>1850</v>
      </c>
      <c r="B107" s="14">
        <v>26</v>
      </c>
      <c r="C107" s="19" t="s">
        <v>1744</v>
      </c>
      <c r="D107" s="31" t="s">
        <v>87</v>
      </c>
      <c r="E107" s="12" t="s">
        <v>114</v>
      </c>
      <c r="F107" s="1"/>
      <c r="G107" s="1">
        <v>6.4509999999999996</v>
      </c>
      <c r="H107" s="1">
        <v>0.03</v>
      </c>
      <c r="I107" s="12">
        <f t="shared" si="33"/>
        <v>6.4809999999999999</v>
      </c>
      <c r="J107" s="12">
        <v>4289.2309999999998</v>
      </c>
      <c r="K107" s="12">
        <v>83.2</v>
      </c>
      <c r="L107" s="12">
        <f t="shared" si="34"/>
        <v>4372.4309999999996</v>
      </c>
      <c r="M107" s="12">
        <f t="shared" si="25"/>
        <v>674.65375713624439</v>
      </c>
      <c r="N107" s="12" t="e">
        <f t="shared" si="35"/>
        <v>#REF!</v>
      </c>
      <c r="O107" s="12" t="e">
        <f t="shared" si="36"/>
        <v>#REF!</v>
      </c>
      <c r="P107" s="12" t="e">
        <f t="shared" si="37"/>
        <v>#REF!</v>
      </c>
    </row>
    <row r="108" spans="1:16" ht="15.75" hidden="1" x14ac:dyDescent="0.25">
      <c r="A108" s="14" t="s">
        <v>1850</v>
      </c>
      <c r="B108" s="14">
        <v>27</v>
      </c>
      <c r="C108" s="19" t="s">
        <v>1744</v>
      </c>
      <c r="D108" s="31" t="s">
        <v>113</v>
      </c>
      <c r="E108" s="12" t="s">
        <v>88</v>
      </c>
      <c r="F108" s="1"/>
      <c r="G108" s="1">
        <v>8.6940000000000008</v>
      </c>
      <c r="H108" s="1">
        <v>3.9E-2</v>
      </c>
      <c r="I108" s="12">
        <f t="shared" si="33"/>
        <v>8.7330000000000005</v>
      </c>
      <c r="J108" s="12">
        <v>5870.7439999999997</v>
      </c>
      <c r="K108" s="12"/>
      <c r="L108" s="12">
        <f t="shared" si="34"/>
        <v>5870.7439999999997</v>
      </c>
      <c r="M108" s="12">
        <f t="shared" si="25"/>
        <v>672.24825375014302</v>
      </c>
      <c r="N108" s="12" t="e">
        <f t="shared" si="35"/>
        <v>#REF!</v>
      </c>
      <c r="O108" s="12" t="e">
        <f t="shared" si="36"/>
        <v>#REF!</v>
      </c>
      <c r="P108" s="12" t="e">
        <f t="shared" si="37"/>
        <v>#REF!</v>
      </c>
    </row>
    <row r="109" spans="1:16" ht="15.75" hidden="1" x14ac:dyDescent="0.25">
      <c r="A109" s="14" t="s">
        <v>1850</v>
      </c>
      <c r="B109" s="14">
        <v>28</v>
      </c>
      <c r="C109" s="19" t="s">
        <v>1744</v>
      </c>
      <c r="D109" s="31" t="s">
        <v>177</v>
      </c>
      <c r="E109" s="12" t="s">
        <v>178</v>
      </c>
      <c r="F109" s="1"/>
      <c r="G109" s="1">
        <v>9.5519999999999996</v>
      </c>
      <c r="H109" s="1">
        <v>0.01</v>
      </c>
      <c r="I109" s="12">
        <f t="shared" si="33"/>
        <v>9.5619999999999994</v>
      </c>
      <c r="J109" s="12">
        <v>3097.9879999999998</v>
      </c>
      <c r="K109" s="12"/>
      <c r="L109" s="12">
        <f t="shared" si="34"/>
        <v>3097.9879999999998</v>
      </c>
      <c r="M109" s="12">
        <f t="shared" si="25"/>
        <v>323.98954193683329</v>
      </c>
      <c r="N109" s="12" t="e">
        <f t="shared" si="35"/>
        <v>#REF!</v>
      </c>
      <c r="O109" s="12" t="e">
        <f t="shared" si="36"/>
        <v>#REF!</v>
      </c>
      <c r="P109" s="12" t="e">
        <f t="shared" si="37"/>
        <v>#REF!</v>
      </c>
    </row>
    <row r="110" spans="1:16" ht="15.75" hidden="1" x14ac:dyDescent="0.25">
      <c r="A110" s="14" t="s">
        <v>1850</v>
      </c>
      <c r="B110" s="14">
        <v>29</v>
      </c>
      <c r="C110" s="19" t="s">
        <v>1744</v>
      </c>
      <c r="D110" s="31" t="s">
        <v>179</v>
      </c>
      <c r="E110" s="12" t="s">
        <v>180</v>
      </c>
      <c r="F110" s="1"/>
      <c r="G110" s="1">
        <v>3.6360000000000001</v>
      </c>
      <c r="H110" s="1">
        <v>2.8000000000000001E-2</v>
      </c>
      <c r="I110" s="12">
        <f t="shared" si="33"/>
        <v>3.6640000000000001</v>
      </c>
      <c r="J110" s="12">
        <v>6622.058</v>
      </c>
      <c r="K110" s="12">
        <v>76.7</v>
      </c>
      <c r="L110" s="12">
        <f t="shared" si="34"/>
        <v>6698.7579999999998</v>
      </c>
      <c r="M110" s="12">
        <f t="shared" si="25"/>
        <v>1828.2636462882094</v>
      </c>
      <c r="N110" s="12" t="e">
        <f t="shared" si="35"/>
        <v>#REF!</v>
      </c>
      <c r="O110" s="12" t="e">
        <f t="shared" si="36"/>
        <v>#REF!</v>
      </c>
      <c r="P110" s="12" t="e">
        <f t="shared" si="37"/>
        <v>#REF!</v>
      </c>
    </row>
    <row r="111" spans="1:16" ht="15.75" hidden="1" x14ac:dyDescent="0.25">
      <c r="A111" s="14" t="s">
        <v>1850</v>
      </c>
      <c r="B111" s="14">
        <v>30</v>
      </c>
      <c r="C111" s="19" t="s">
        <v>1744</v>
      </c>
      <c r="D111" s="31" t="s">
        <v>181</v>
      </c>
      <c r="E111" s="12" t="s">
        <v>182</v>
      </c>
      <c r="F111" s="1"/>
      <c r="G111" s="1">
        <v>7.7880000000000003</v>
      </c>
      <c r="H111" s="1">
        <v>3.4000000000000002E-2</v>
      </c>
      <c r="I111" s="12">
        <f t="shared" si="33"/>
        <v>7.8220000000000001</v>
      </c>
      <c r="J111" s="12">
        <v>8246.81</v>
      </c>
      <c r="K111" s="12"/>
      <c r="L111" s="12">
        <f t="shared" si="34"/>
        <v>8246.81</v>
      </c>
      <c r="M111" s="12">
        <f t="shared" si="25"/>
        <v>1054.3096394783943</v>
      </c>
      <c r="N111" s="12" t="e">
        <f t="shared" si="35"/>
        <v>#REF!</v>
      </c>
      <c r="O111" s="12" t="e">
        <f t="shared" si="36"/>
        <v>#REF!</v>
      </c>
      <c r="P111" s="12" t="e">
        <f t="shared" si="37"/>
        <v>#REF!</v>
      </c>
    </row>
    <row r="112" spans="1:16" ht="15.75" hidden="1" x14ac:dyDescent="0.25">
      <c r="A112" s="14" t="s">
        <v>1850</v>
      </c>
      <c r="B112" s="14">
        <v>31</v>
      </c>
      <c r="C112" s="19" t="s">
        <v>1744</v>
      </c>
      <c r="D112" s="31" t="s">
        <v>183</v>
      </c>
      <c r="E112" s="12" t="s">
        <v>184</v>
      </c>
      <c r="F112" s="1"/>
      <c r="G112" s="1">
        <v>4.2060000000000004</v>
      </c>
      <c r="H112" s="1">
        <v>2E-3</v>
      </c>
      <c r="I112" s="12">
        <f t="shared" si="33"/>
        <v>4.2080000000000002</v>
      </c>
      <c r="J112" s="12">
        <v>7799.7209999999995</v>
      </c>
      <c r="K112" s="12"/>
      <c r="L112" s="12">
        <f t="shared" si="34"/>
        <v>7799.7209999999995</v>
      </c>
      <c r="M112" s="12">
        <f t="shared" si="25"/>
        <v>1853.5458650190112</v>
      </c>
      <c r="N112" s="12" t="e">
        <f t="shared" si="35"/>
        <v>#REF!</v>
      </c>
      <c r="O112" s="12" t="e">
        <f t="shared" si="36"/>
        <v>#REF!</v>
      </c>
      <c r="P112" s="12" t="e">
        <f t="shared" si="37"/>
        <v>#REF!</v>
      </c>
    </row>
    <row r="113" spans="1:16" ht="15.75" hidden="1" x14ac:dyDescent="0.25">
      <c r="A113" s="14" t="s">
        <v>1850</v>
      </c>
      <c r="B113" s="14">
        <v>32</v>
      </c>
      <c r="C113" s="19" t="s">
        <v>1744</v>
      </c>
      <c r="D113" s="31" t="s">
        <v>185</v>
      </c>
      <c r="E113" s="12" t="s">
        <v>186</v>
      </c>
      <c r="F113" s="1"/>
      <c r="G113" s="1">
        <v>5.5819999999999999</v>
      </c>
      <c r="H113" s="1">
        <v>4.0000000000000001E-3</v>
      </c>
      <c r="I113" s="12">
        <f t="shared" si="33"/>
        <v>5.5859999999999994</v>
      </c>
      <c r="J113" s="12">
        <v>2462.0410000000002</v>
      </c>
      <c r="K113" s="12"/>
      <c r="L113" s="12">
        <f t="shared" si="34"/>
        <v>2462.0410000000002</v>
      </c>
      <c r="M113" s="12">
        <f t="shared" si="25"/>
        <v>440.75205871822419</v>
      </c>
      <c r="N113" s="12" t="e">
        <f t="shared" si="35"/>
        <v>#REF!</v>
      </c>
      <c r="O113" s="12" t="e">
        <f t="shared" si="36"/>
        <v>#REF!</v>
      </c>
      <c r="P113" s="12" t="e">
        <f t="shared" si="37"/>
        <v>#REF!</v>
      </c>
    </row>
    <row r="114" spans="1:16" ht="15.75" hidden="1" x14ac:dyDescent="0.25">
      <c r="A114" s="14" t="s">
        <v>1850</v>
      </c>
      <c r="B114" s="14">
        <v>33</v>
      </c>
      <c r="C114" s="19" t="s">
        <v>1744</v>
      </c>
      <c r="D114" s="31" t="s">
        <v>187</v>
      </c>
      <c r="E114" s="12" t="s">
        <v>188</v>
      </c>
      <c r="F114" s="1"/>
      <c r="G114" s="1">
        <v>4.4619999999999997</v>
      </c>
      <c r="H114" s="1">
        <v>1.4E-2</v>
      </c>
      <c r="I114" s="12">
        <f t="shared" si="33"/>
        <v>4.476</v>
      </c>
      <c r="J114" s="12">
        <v>2798.761</v>
      </c>
      <c r="K114" s="12">
        <f>72.4</f>
        <v>72.400000000000006</v>
      </c>
      <c r="L114" s="12">
        <f t="shared" si="34"/>
        <v>2871.1610000000001</v>
      </c>
      <c r="M114" s="12">
        <f t="shared" si="25"/>
        <v>641.45688114387849</v>
      </c>
      <c r="N114" s="12" t="e">
        <f t="shared" si="35"/>
        <v>#REF!</v>
      </c>
      <c r="O114" s="12" t="e">
        <f t="shared" si="36"/>
        <v>#REF!</v>
      </c>
      <c r="P114" s="12" t="e">
        <f t="shared" si="37"/>
        <v>#REF!</v>
      </c>
    </row>
    <row r="115" spans="1:16" ht="15.75" hidden="1" x14ac:dyDescent="0.25">
      <c r="A115" s="14" t="s">
        <v>1850</v>
      </c>
      <c r="B115" s="14">
        <v>34</v>
      </c>
      <c r="C115" s="19" t="s">
        <v>1744</v>
      </c>
      <c r="D115" s="31" t="s">
        <v>189</v>
      </c>
      <c r="E115" s="12" t="s">
        <v>190</v>
      </c>
      <c r="F115" s="1"/>
      <c r="G115" s="1">
        <v>3.2269999999999999</v>
      </c>
      <c r="H115" s="1">
        <v>7.0000000000000001E-3</v>
      </c>
      <c r="I115" s="12">
        <f t="shared" si="33"/>
        <v>3.234</v>
      </c>
      <c r="J115" s="12">
        <v>11221.455</v>
      </c>
      <c r="K115" s="12"/>
      <c r="L115" s="12">
        <f t="shared" si="34"/>
        <v>11221.455</v>
      </c>
      <c r="M115" s="12">
        <f t="shared" si="25"/>
        <v>3469.8376623376626</v>
      </c>
      <c r="N115" s="12" t="e">
        <f t="shared" si="35"/>
        <v>#REF!</v>
      </c>
      <c r="O115" s="12" t="e">
        <f t="shared" si="36"/>
        <v>#REF!</v>
      </c>
      <c r="P115" s="12" t="e">
        <f t="shared" si="37"/>
        <v>#REF!</v>
      </c>
    </row>
    <row r="116" spans="1:16" ht="15.75" hidden="1" x14ac:dyDescent="0.25">
      <c r="A116" s="14" t="s">
        <v>1850</v>
      </c>
      <c r="B116" s="14">
        <v>35</v>
      </c>
      <c r="C116" s="19" t="s">
        <v>1744</v>
      </c>
      <c r="D116" s="31" t="s">
        <v>191</v>
      </c>
      <c r="E116" s="12" t="s">
        <v>192</v>
      </c>
      <c r="F116" s="1"/>
      <c r="G116" s="1">
        <v>5.7919999999999998</v>
      </c>
      <c r="H116" s="1">
        <v>3.1E-2</v>
      </c>
      <c r="I116" s="12">
        <f t="shared" si="33"/>
        <v>5.8229999999999995</v>
      </c>
      <c r="J116" s="12">
        <v>5162.6480000000001</v>
      </c>
      <c r="K116" s="12"/>
      <c r="L116" s="12">
        <f t="shared" si="34"/>
        <v>5162.6480000000001</v>
      </c>
      <c r="M116" s="12">
        <f t="shared" si="25"/>
        <v>886.59591275974594</v>
      </c>
      <c r="N116" s="12" t="e">
        <f t="shared" si="35"/>
        <v>#REF!</v>
      </c>
      <c r="O116" s="12" t="e">
        <f t="shared" si="36"/>
        <v>#REF!</v>
      </c>
      <c r="P116" s="12" t="e">
        <f t="shared" si="37"/>
        <v>#REF!</v>
      </c>
    </row>
    <row r="117" spans="1:16" ht="15.75" hidden="1" x14ac:dyDescent="0.25">
      <c r="A117" s="14" t="s">
        <v>1850</v>
      </c>
      <c r="B117" s="14">
        <v>36</v>
      </c>
      <c r="C117" s="19" t="s">
        <v>1744</v>
      </c>
      <c r="D117" s="31" t="s">
        <v>513</v>
      </c>
      <c r="E117" s="38" t="s">
        <v>514</v>
      </c>
      <c r="F117" s="39"/>
      <c r="G117" s="39">
        <v>4.5670000000000002</v>
      </c>
      <c r="H117" s="39">
        <v>2.1000000000000001E-2</v>
      </c>
      <c r="I117" s="12">
        <f t="shared" si="33"/>
        <v>4.5880000000000001</v>
      </c>
      <c r="J117" s="38">
        <v>2094.6909999999998</v>
      </c>
      <c r="K117" s="38"/>
      <c r="L117" s="38">
        <f t="shared" si="34"/>
        <v>2094.6909999999998</v>
      </c>
      <c r="M117" s="38">
        <f t="shared" si="25"/>
        <v>456.55863121185695</v>
      </c>
      <c r="N117" s="12" t="e">
        <f t="shared" si="35"/>
        <v>#REF!</v>
      </c>
      <c r="O117" s="12" t="e">
        <f t="shared" si="36"/>
        <v>#REF!</v>
      </c>
      <c r="P117" s="12" t="e">
        <f t="shared" si="37"/>
        <v>#REF!</v>
      </c>
    </row>
    <row r="118" spans="1:16" ht="15.75" hidden="1" x14ac:dyDescent="0.25">
      <c r="A118" s="14" t="s">
        <v>1850</v>
      </c>
      <c r="B118" s="14">
        <v>37</v>
      </c>
      <c r="C118" s="19" t="s">
        <v>1744</v>
      </c>
      <c r="D118" s="31" t="s">
        <v>515</v>
      </c>
      <c r="E118" s="38" t="s">
        <v>516</v>
      </c>
      <c r="F118" s="39"/>
      <c r="G118" s="39">
        <v>7.3879999999999999</v>
      </c>
      <c r="H118" s="39">
        <v>1.9E-2</v>
      </c>
      <c r="I118" s="12">
        <f t="shared" si="33"/>
        <v>7.407</v>
      </c>
      <c r="J118" s="38">
        <v>6737.482</v>
      </c>
      <c r="K118" s="38"/>
      <c r="L118" s="38">
        <f t="shared" si="34"/>
        <v>6737.482</v>
      </c>
      <c r="M118" s="38">
        <f t="shared" si="25"/>
        <v>909.61009855542056</v>
      </c>
      <c r="N118" s="12" t="e">
        <f t="shared" si="35"/>
        <v>#REF!</v>
      </c>
      <c r="O118" s="12" t="e">
        <f t="shared" si="36"/>
        <v>#REF!</v>
      </c>
      <c r="P118" s="12" t="e">
        <f t="shared" si="37"/>
        <v>#REF!</v>
      </c>
    </row>
    <row r="119" spans="1:16" ht="15.75" hidden="1" x14ac:dyDescent="0.25">
      <c r="A119" s="14" t="s">
        <v>1850</v>
      </c>
      <c r="B119" s="14">
        <v>38</v>
      </c>
      <c r="C119" s="19" t="s">
        <v>1744</v>
      </c>
      <c r="D119" s="31" t="s">
        <v>517</v>
      </c>
      <c r="E119" s="38" t="s">
        <v>518</v>
      </c>
      <c r="F119" s="39"/>
      <c r="G119" s="39">
        <v>6.5279999999999996</v>
      </c>
      <c r="H119" s="39">
        <v>1.9E-2</v>
      </c>
      <c r="I119" s="12">
        <f t="shared" si="33"/>
        <v>6.5469999999999997</v>
      </c>
      <c r="J119" s="38">
        <v>3546.2849999999999</v>
      </c>
      <c r="K119" s="38"/>
      <c r="L119" s="38">
        <f t="shared" si="34"/>
        <v>3546.2849999999999</v>
      </c>
      <c r="M119" s="38">
        <f t="shared" si="25"/>
        <v>541.66564838857494</v>
      </c>
      <c r="N119" s="12" t="e">
        <f t="shared" si="35"/>
        <v>#REF!</v>
      </c>
      <c r="O119" s="12" t="e">
        <f t="shared" si="36"/>
        <v>#REF!</v>
      </c>
      <c r="P119" s="12" t="e">
        <f t="shared" si="37"/>
        <v>#REF!</v>
      </c>
    </row>
    <row r="120" spans="1:16" ht="15.75" hidden="1" x14ac:dyDescent="0.25">
      <c r="A120" s="14" t="s">
        <v>1850</v>
      </c>
      <c r="B120" s="14">
        <v>39</v>
      </c>
      <c r="C120" s="19" t="s">
        <v>1744</v>
      </c>
      <c r="D120" s="31" t="s">
        <v>519</v>
      </c>
      <c r="E120" s="38" t="s">
        <v>520</v>
      </c>
      <c r="F120" s="39"/>
      <c r="G120" s="39">
        <v>8.7140000000000004</v>
      </c>
      <c r="H120" s="39">
        <v>0.01</v>
      </c>
      <c r="I120" s="12">
        <f t="shared" si="33"/>
        <v>8.7240000000000002</v>
      </c>
      <c r="J120" s="38">
        <v>2160.2139999999999</v>
      </c>
      <c r="K120" s="38"/>
      <c r="L120" s="38">
        <f t="shared" si="34"/>
        <v>2160.2139999999999</v>
      </c>
      <c r="M120" s="38">
        <f t="shared" si="25"/>
        <v>247.6173773498395</v>
      </c>
      <c r="N120" s="12" t="e">
        <f t="shared" si="35"/>
        <v>#REF!</v>
      </c>
      <c r="O120" s="12" t="e">
        <f t="shared" si="36"/>
        <v>#REF!</v>
      </c>
      <c r="P120" s="12" t="e">
        <f t="shared" si="37"/>
        <v>#REF!</v>
      </c>
    </row>
    <row r="121" spans="1:16" ht="15.75" hidden="1" x14ac:dyDescent="0.25">
      <c r="A121" s="14" t="s">
        <v>1850</v>
      </c>
      <c r="B121" s="14">
        <v>40</v>
      </c>
      <c r="C121" s="19" t="s">
        <v>1744</v>
      </c>
      <c r="D121" s="31" t="s">
        <v>521</v>
      </c>
      <c r="E121" s="38" t="s">
        <v>522</v>
      </c>
      <c r="F121" s="39"/>
      <c r="G121" s="39">
        <v>5.5030000000000001</v>
      </c>
      <c r="H121" s="39">
        <v>4.0000000000000001E-3</v>
      </c>
      <c r="I121" s="12">
        <f t="shared" si="33"/>
        <v>5.5069999999999997</v>
      </c>
      <c r="J121" s="38">
        <v>1593.75</v>
      </c>
      <c r="K121" s="38"/>
      <c r="L121" s="38">
        <f t="shared" si="34"/>
        <v>1593.75</v>
      </c>
      <c r="M121" s="38">
        <f t="shared" si="25"/>
        <v>289.40439440711822</v>
      </c>
      <c r="N121" s="12" t="e">
        <f t="shared" si="35"/>
        <v>#REF!</v>
      </c>
      <c r="O121" s="12" t="e">
        <f t="shared" si="36"/>
        <v>#REF!</v>
      </c>
      <c r="P121" s="12" t="e">
        <f t="shared" si="37"/>
        <v>#REF!</v>
      </c>
    </row>
    <row r="122" spans="1:16" ht="15.75" hidden="1" x14ac:dyDescent="0.25">
      <c r="A122" s="49" t="s">
        <v>1850</v>
      </c>
      <c r="B122" s="49">
        <v>41</v>
      </c>
      <c r="C122" s="54" t="s">
        <v>1744</v>
      </c>
      <c r="D122" s="55" t="s">
        <v>596</v>
      </c>
      <c r="E122" s="52" t="s">
        <v>597</v>
      </c>
      <c r="F122" s="53"/>
      <c r="G122" s="53">
        <v>4.3460000000000001</v>
      </c>
      <c r="H122" s="53">
        <v>1.0999999999999999E-2</v>
      </c>
      <c r="I122" s="12">
        <f t="shared" si="33"/>
        <v>4.3570000000000002</v>
      </c>
      <c r="J122" s="52">
        <v>8594.4709999999995</v>
      </c>
      <c r="K122" s="52"/>
      <c r="L122" s="52">
        <f t="shared" si="34"/>
        <v>8594.4709999999995</v>
      </c>
      <c r="M122" s="52">
        <f t="shared" si="25"/>
        <v>1972.5662152857469</v>
      </c>
      <c r="N122" s="12" t="e">
        <f t="shared" si="35"/>
        <v>#REF!</v>
      </c>
      <c r="O122" s="12" t="e">
        <f t="shared" si="36"/>
        <v>#REF!</v>
      </c>
      <c r="P122" s="12" t="e">
        <f t="shared" si="37"/>
        <v>#REF!</v>
      </c>
    </row>
    <row r="123" spans="1:16" ht="15.75" hidden="1" x14ac:dyDescent="0.25">
      <c r="A123" s="49" t="s">
        <v>1850</v>
      </c>
      <c r="B123" s="49">
        <v>42</v>
      </c>
      <c r="C123" s="54" t="s">
        <v>1744</v>
      </c>
      <c r="D123" s="55" t="s">
        <v>598</v>
      </c>
      <c r="E123" s="52" t="s">
        <v>599</v>
      </c>
      <c r="F123" s="53"/>
      <c r="G123" s="53">
        <v>9.7530000000000001</v>
      </c>
      <c r="H123" s="53">
        <v>1.7999999999999999E-2</v>
      </c>
      <c r="I123" s="12">
        <f t="shared" si="33"/>
        <v>9.7710000000000008</v>
      </c>
      <c r="J123" s="52">
        <v>8556.1839999999993</v>
      </c>
      <c r="K123" s="52"/>
      <c r="L123" s="52">
        <f t="shared" si="34"/>
        <v>8556.1839999999993</v>
      </c>
      <c r="M123" s="52">
        <f t="shared" si="25"/>
        <v>875.67127213181845</v>
      </c>
      <c r="N123" s="12" t="e">
        <f t="shared" si="35"/>
        <v>#REF!</v>
      </c>
      <c r="O123" s="12" t="e">
        <f t="shared" si="36"/>
        <v>#REF!</v>
      </c>
      <c r="P123" s="12" t="e">
        <f t="shared" si="37"/>
        <v>#REF!</v>
      </c>
    </row>
    <row r="124" spans="1:16" ht="15.75" hidden="1" x14ac:dyDescent="0.25">
      <c r="A124" s="49" t="s">
        <v>1850</v>
      </c>
      <c r="B124" s="49">
        <v>43</v>
      </c>
      <c r="C124" s="54" t="s">
        <v>1744</v>
      </c>
      <c r="D124" s="55" t="s">
        <v>600</v>
      </c>
      <c r="E124" s="52" t="s">
        <v>601</v>
      </c>
      <c r="F124" s="53"/>
      <c r="G124" s="53">
        <v>3.802</v>
      </c>
      <c r="H124" s="53">
        <v>4.0000000000000001E-3</v>
      </c>
      <c r="I124" s="12">
        <f t="shared" si="33"/>
        <v>3.806</v>
      </c>
      <c r="J124" s="52">
        <v>7289.5720000000001</v>
      </c>
      <c r="K124" s="52"/>
      <c r="L124" s="52">
        <f t="shared" si="34"/>
        <v>7289.5720000000001</v>
      </c>
      <c r="M124" s="52">
        <f t="shared" si="25"/>
        <v>1915.284287966369</v>
      </c>
      <c r="N124" s="12" t="e">
        <f t="shared" si="35"/>
        <v>#REF!</v>
      </c>
      <c r="O124" s="12" t="e">
        <f t="shared" si="36"/>
        <v>#REF!</v>
      </c>
      <c r="P124" s="12" t="e">
        <f t="shared" si="37"/>
        <v>#REF!</v>
      </c>
    </row>
    <row r="125" spans="1:16" ht="15.75" hidden="1" x14ac:dyDescent="0.25">
      <c r="A125" s="49" t="s">
        <v>1850</v>
      </c>
      <c r="B125" s="49">
        <v>44</v>
      </c>
      <c r="C125" s="54" t="s">
        <v>1744</v>
      </c>
      <c r="D125" s="55" t="s">
        <v>602</v>
      </c>
      <c r="E125" s="52" t="s">
        <v>603</v>
      </c>
      <c r="F125" s="53"/>
      <c r="G125" s="53">
        <v>11.272</v>
      </c>
      <c r="H125" s="53">
        <v>2.5999999999999999E-2</v>
      </c>
      <c r="I125" s="12">
        <f t="shared" si="33"/>
        <v>11.298</v>
      </c>
      <c r="J125" s="52">
        <v>8659.9320000000007</v>
      </c>
      <c r="K125" s="52"/>
      <c r="L125" s="52">
        <f t="shared" si="34"/>
        <v>8659.9320000000007</v>
      </c>
      <c r="M125" s="52">
        <f t="shared" si="25"/>
        <v>766.50132766861395</v>
      </c>
      <c r="N125" s="12" t="e">
        <f t="shared" si="35"/>
        <v>#REF!</v>
      </c>
      <c r="O125" s="12" t="e">
        <f t="shared" si="36"/>
        <v>#REF!</v>
      </c>
      <c r="P125" s="12" t="e">
        <f t="shared" si="37"/>
        <v>#REF!</v>
      </c>
    </row>
    <row r="126" spans="1:16" ht="15.75" hidden="1" x14ac:dyDescent="0.25">
      <c r="A126" s="49" t="s">
        <v>1850</v>
      </c>
      <c r="B126" s="49">
        <v>45</v>
      </c>
      <c r="C126" s="54" t="s">
        <v>1744</v>
      </c>
      <c r="D126" s="55" t="s">
        <v>604</v>
      </c>
      <c r="E126" s="52" t="s">
        <v>605</v>
      </c>
      <c r="F126" s="53"/>
      <c r="G126" s="53">
        <v>7.37</v>
      </c>
      <c r="H126" s="53">
        <v>2.9000000000000001E-2</v>
      </c>
      <c r="I126" s="12">
        <f t="shared" si="33"/>
        <v>7.399</v>
      </c>
      <c r="J126" s="52">
        <v>61287.790999999997</v>
      </c>
      <c r="K126" s="52"/>
      <c r="L126" s="52">
        <f t="shared" si="34"/>
        <v>61287.790999999997</v>
      </c>
      <c r="M126" s="52">
        <f t="shared" si="25"/>
        <v>8283.2532774699284</v>
      </c>
      <c r="N126" s="12" t="e">
        <f t="shared" si="35"/>
        <v>#REF!</v>
      </c>
      <c r="O126" s="12" t="e">
        <f t="shared" si="36"/>
        <v>#REF!</v>
      </c>
      <c r="P126" s="12" t="e">
        <f t="shared" si="37"/>
        <v>#REF!</v>
      </c>
    </row>
    <row r="127" spans="1:16" ht="15.75" hidden="1" x14ac:dyDescent="0.25">
      <c r="A127" s="49" t="s">
        <v>1850</v>
      </c>
      <c r="B127" s="49">
        <v>46</v>
      </c>
      <c r="C127" s="54" t="s">
        <v>1744</v>
      </c>
      <c r="D127" s="55" t="s">
        <v>606</v>
      </c>
      <c r="E127" s="52" t="s">
        <v>607</v>
      </c>
      <c r="F127" s="53"/>
      <c r="G127" s="53">
        <v>28.89</v>
      </c>
      <c r="H127" s="53">
        <v>6.5000000000000002E-2</v>
      </c>
      <c r="I127" s="12">
        <f t="shared" si="33"/>
        <v>28.955000000000002</v>
      </c>
      <c r="J127" s="52">
        <v>14350.01</v>
      </c>
      <c r="K127" s="52"/>
      <c r="L127" s="52">
        <f t="shared" si="34"/>
        <v>14350.01</v>
      </c>
      <c r="M127" s="52">
        <f t="shared" si="25"/>
        <v>495.59696080124331</v>
      </c>
      <c r="N127" s="12" t="e">
        <f t="shared" si="35"/>
        <v>#REF!</v>
      </c>
      <c r="O127" s="12" t="e">
        <f t="shared" si="36"/>
        <v>#REF!</v>
      </c>
      <c r="P127" s="12" t="e">
        <f t="shared" si="37"/>
        <v>#REF!</v>
      </c>
    </row>
    <row r="128" spans="1:16" ht="15.75" hidden="1" x14ac:dyDescent="0.25">
      <c r="A128" s="49" t="s">
        <v>1850</v>
      </c>
      <c r="B128" s="49">
        <v>47</v>
      </c>
      <c r="C128" s="54" t="s">
        <v>1744</v>
      </c>
      <c r="D128" s="55" t="s">
        <v>608</v>
      </c>
      <c r="E128" s="52" t="s">
        <v>609</v>
      </c>
      <c r="F128" s="53"/>
      <c r="G128" s="53">
        <v>5.6790000000000003</v>
      </c>
      <c r="H128" s="53">
        <v>4.0000000000000001E-3</v>
      </c>
      <c r="I128" s="12">
        <f t="shared" si="33"/>
        <v>5.6829999999999998</v>
      </c>
      <c r="J128" s="52">
        <v>5451.4160000000002</v>
      </c>
      <c r="K128" s="52"/>
      <c r="L128" s="52">
        <f t="shared" si="34"/>
        <v>5451.4160000000002</v>
      </c>
      <c r="M128" s="52">
        <f t="shared" si="25"/>
        <v>959.24969206405069</v>
      </c>
      <c r="N128" s="12" t="e">
        <f t="shared" si="35"/>
        <v>#REF!</v>
      </c>
      <c r="O128" s="12" t="e">
        <f t="shared" si="36"/>
        <v>#REF!</v>
      </c>
      <c r="P128" s="12" t="e">
        <f t="shared" si="37"/>
        <v>#REF!</v>
      </c>
    </row>
    <row r="129" spans="1:16" ht="15.75" hidden="1" x14ac:dyDescent="0.25">
      <c r="A129" s="49" t="s">
        <v>1850</v>
      </c>
      <c r="B129" s="49">
        <v>48</v>
      </c>
      <c r="C129" s="54" t="s">
        <v>1744</v>
      </c>
      <c r="D129" s="55" t="s">
        <v>610</v>
      </c>
      <c r="E129" s="52" t="s">
        <v>611</v>
      </c>
      <c r="F129" s="53"/>
      <c r="G129" s="53">
        <v>6.2370000000000001</v>
      </c>
      <c r="H129" s="53">
        <v>3.0000000000000001E-3</v>
      </c>
      <c r="I129" s="12">
        <f t="shared" si="33"/>
        <v>6.24</v>
      </c>
      <c r="J129" s="52">
        <v>1749.72</v>
      </c>
      <c r="K129" s="52"/>
      <c r="L129" s="52">
        <f t="shared" si="34"/>
        <v>1749.72</v>
      </c>
      <c r="M129" s="52">
        <f t="shared" si="25"/>
        <v>280.40384615384613</v>
      </c>
      <c r="N129" s="12" t="e">
        <f t="shared" si="35"/>
        <v>#REF!</v>
      </c>
      <c r="O129" s="12" t="e">
        <f t="shared" si="36"/>
        <v>#REF!</v>
      </c>
      <c r="P129" s="12" t="e">
        <f t="shared" si="37"/>
        <v>#REF!</v>
      </c>
    </row>
    <row r="130" spans="1:16" ht="15.75" hidden="1" x14ac:dyDescent="0.25">
      <c r="A130" s="49" t="s">
        <v>1850</v>
      </c>
      <c r="B130" s="49">
        <v>49</v>
      </c>
      <c r="C130" s="54" t="s">
        <v>1744</v>
      </c>
      <c r="D130" s="55" t="s">
        <v>612</v>
      </c>
      <c r="E130" s="52" t="s">
        <v>613</v>
      </c>
      <c r="F130" s="53"/>
      <c r="G130" s="53">
        <v>16.143000000000001</v>
      </c>
      <c r="H130" s="53">
        <v>6.3E-2</v>
      </c>
      <c r="I130" s="12">
        <f t="shared" si="33"/>
        <v>16.206</v>
      </c>
      <c r="J130" s="52">
        <v>13825.164000000001</v>
      </c>
      <c r="K130" s="52"/>
      <c r="L130" s="52">
        <f t="shared" si="34"/>
        <v>13825.164000000001</v>
      </c>
      <c r="M130" s="52">
        <f t="shared" si="25"/>
        <v>853.08922621251395</v>
      </c>
      <c r="N130" s="12" t="e">
        <f t="shared" si="35"/>
        <v>#REF!</v>
      </c>
      <c r="O130" s="12" t="e">
        <f t="shared" si="36"/>
        <v>#REF!</v>
      </c>
      <c r="P130" s="12" t="e">
        <f t="shared" si="37"/>
        <v>#REF!</v>
      </c>
    </row>
    <row r="131" spans="1:16" ht="15.75" hidden="1" x14ac:dyDescent="0.25">
      <c r="A131" s="49" t="s">
        <v>1850</v>
      </c>
      <c r="B131" s="49">
        <v>50</v>
      </c>
      <c r="C131" s="54" t="s">
        <v>1744</v>
      </c>
      <c r="D131" s="55" t="s">
        <v>614</v>
      </c>
      <c r="E131" s="52" t="s">
        <v>615</v>
      </c>
      <c r="F131" s="53"/>
      <c r="G131" s="53">
        <v>13.1</v>
      </c>
      <c r="H131" s="53">
        <v>4.4999999999999998E-2</v>
      </c>
      <c r="I131" s="12">
        <f t="shared" si="33"/>
        <v>13.145</v>
      </c>
      <c r="J131" s="52">
        <v>5820.8459999999995</v>
      </c>
      <c r="K131" s="52"/>
      <c r="L131" s="52">
        <f t="shared" si="34"/>
        <v>5820.8459999999995</v>
      </c>
      <c r="M131" s="52">
        <f t="shared" si="25"/>
        <v>442.81825789273483</v>
      </c>
      <c r="N131" s="12" t="e">
        <f t="shared" si="35"/>
        <v>#REF!</v>
      </c>
      <c r="O131" s="12" t="e">
        <f t="shared" si="36"/>
        <v>#REF!</v>
      </c>
      <c r="P131" s="12" t="e">
        <f t="shared" si="37"/>
        <v>#REF!</v>
      </c>
    </row>
    <row r="132" spans="1:16" ht="15.75" hidden="1" x14ac:dyDescent="0.25">
      <c r="A132" s="49" t="s">
        <v>1850</v>
      </c>
      <c r="B132" s="49">
        <v>51</v>
      </c>
      <c r="C132" s="54" t="s">
        <v>1744</v>
      </c>
      <c r="D132" s="55" t="s">
        <v>616</v>
      </c>
      <c r="E132" s="52" t="s">
        <v>617</v>
      </c>
      <c r="F132" s="53"/>
      <c r="G132" s="53">
        <v>3.7829999999999999</v>
      </c>
      <c r="H132" s="53">
        <v>4.0000000000000001E-3</v>
      </c>
      <c r="I132" s="12">
        <f t="shared" si="33"/>
        <v>3.7869999999999999</v>
      </c>
      <c r="J132" s="52">
        <v>655.83199999999999</v>
      </c>
      <c r="K132" s="52"/>
      <c r="L132" s="52">
        <f t="shared" si="34"/>
        <v>655.83199999999999</v>
      </c>
      <c r="M132" s="52">
        <f t="shared" si="25"/>
        <v>173.17982571956694</v>
      </c>
      <c r="N132" s="12" t="e">
        <f t="shared" si="35"/>
        <v>#REF!</v>
      </c>
      <c r="O132" s="12" t="e">
        <f t="shared" si="36"/>
        <v>#REF!</v>
      </c>
      <c r="P132" s="12" t="e">
        <f t="shared" si="37"/>
        <v>#REF!</v>
      </c>
    </row>
    <row r="133" spans="1:16" ht="15.75" hidden="1" x14ac:dyDescent="0.25">
      <c r="A133" s="49" t="s">
        <v>1850</v>
      </c>
      <c r="B133" s="49">
        <v>52</v>
      </c>
      <c r="C133" s="54" t="s">
        <v>1744</v>
      </c>
      <c r="D133" s="55" t="s">
        <v>618</v>
      </c>
      <c r="E133" s="52" t="s">
        <v>619</v>
      </c>
      <c r="F133" s="53"/>
      <c r="G133" s="53">
        <v>5.3550000000000004</v>
      </c>
      <c r="H133" s="53">
        <v>2E-3</v>
      </c>
      <c r="I133" s="12">
        <f t="shared" si="33"/>
        <v>5.3570000000000002</v>
      </c>
      <c r="J133" s="52">
        <v>1018.954</v>
      </c>
      <c r="K133" s="52"/>
      <c r="L133" s="52">
        <f t="shared" si="34"/>
        <v>1018.954</v>
      </c>
      <c r="M133" s="52">
        <f t="shared" si="25"/>
        <v>190.20981892850475</v>
      </c>
      <c r="N133" s="12" t="e">
        <f t="shared" si="35"/>
        <v>#REF!</v>
      </c>
      <c r="O133" s="12" t="e">
        <f t="shared" si="36"/>
        <v>#REF!</v>
      </c>
      <c r="P133" s="12" t="e">
        <f t="shared" si="37"/>
        <v>#REF!</v>
      </c>
    </row>
    <row r="134" spans="1:16" ht="15.75" hidden="1" x14ac:dyDescent="0.25">
      <c r="A134" s="49" t="s">
        <v>1850</v>
      </c>
      <c r="B134" s="49">
        <v>53</v>
      </c>
      <c r="C134" s="54" t="s">
        <v>1744</v>
      </c>
      <c r="D134" s="55" t="s">
        <v>620</v>
      </c>
      <c r="E134" s="52" t="s">
        <v>621</v>
      </c>
      <c r="F134" s="53"/>
      <c r="G134" s="53">
        <v>5.5129999999999999</v>
      </c>
      <c r="H134" s="53">
        <v>1.2E-2</v>
      </c>
      <c r="I134" s="12">
        <f t="shared" si="33"/>
        <v>5.5249999999999995</v>
      </c>
      <c r="J134" s="52">
        <v>1970.9079999999999</v>
      </c>
      <c r="K134" s="52"/>
      <c r="L134" s="52">
        <f t="shared" si="34"/>
        <v>1970.9079999999999</v>
      </c>
      <c r="M134" s="52">
        <f t="shared" si="25"/>
        <v>356.72542986425339</v>
      </c>
      <c r="N134" s="12" t="e">
        <f t="shared" si="35"/>
        <v>#REF!</v>
      </c>
      <c r="O134" s="12" t="e">
        <f t="shared" si="36"/>
        <v>#REF!</v>
      </c>
      <c r="P134" s="12" t="e">
        <f t="shared" si="37"/>
        <v>#REF!</v>
      </c>
    </row>
    <row r="135" spans="1:16" ht="15.75" hidden="1" x14ac:dyDescent="0.25">
      <c r="A135" s="49" t="s">
        <v>1850</v>
      </c>
      <c r="B135" s="49">
        <v>54</v>
      </c>
      <c r="C135" s="54" t="s">
        <v>1744</v>
      </c>
      <c r="D135" s="55" t="s">
        <v>622</v>
      </c>
      <c r="E135" s="52" t="s">
        <v>623</v>
      </c>
      <c r="F135" s="53"/>
      <c r="G135" s="53">
        <v>2.5840000000000001</v>
      </c>
      <c r="H135" s="53">
        <v>8.0000000000000002E-3</v>
      </c>
      <c r="I135" s="12">
        <f t="shared" si="33"/>
        <v>2.5920000000000001</v>
      </c>
      <c r="J135" s="52">
        <v>869.76900000000001</v>
      </c>
      <c r="K135" s="52"/>
      <c r="L135" s="52">
        <f t="shared" si="34"/>
        <v>869.76900000000001</v>
      </c>
      <c r="M135" s="52">
        <f t="shared" si="25"/>
        <v>335.55902777777777</v>
      </c>
      <c r="N135" s="12" t="e">
        <f t="shared" si="35"/>
        <v>#REF!</v>
      </c>
      <c r="O135" s="12" t="e">
        <f t="shared" si="36"/>
        <v>#REF!</v>
      </c>
      <c r="P135" s="12" t="e">
        <f t="shared" si="37"/>
        <v>#REF!</v>
      </c>
    </row>
    <row r="136" spans="1:16" ht="15.75" hidden="1" x14ac:dyDescent="0.25">
      <c r="A136" s="49" t="s">
        <v>1850</v>
      </c>
      <c r="B136" s="49">
        <v>55</v>
      </c>
      <c r="C136" s="54" t="s">
        <v>1744</v>
      </c>
      <c r="D136" s="55" t="s">
        <v>624</v>
      </c>
      <c r="E136" s="52" t="s">
        <v>625</v>
      </c>
      <c r="F136" s="53"/>
      <c r="G136" s="53">
        <v>3.1909999999999998</v>
      </c>
      <c r="H136" s="53">
        <v>7.0000000000000001E-3</v>
      </c>
      <c r="I136" s="12">
        <f t="shared" si="33"/>
        <v>3.198</v>
      </c>
      <c r="J136" s="52">
        <v>760.40800000000002</v>
      </c>
      <c r="K136" s="52"/>
      <c r="L136" s="52">
        <f t="shared" si="34"/>
        <v>760.40800000000002</v>
      </c>
      <c r="M136" s="52">
        <f t="shared" si="25"/>
        <v>237.776110068793</v>
      </c>
      <c r="N136" s="12" t="e">
        <f t="shared" si="35"/>
        <v>#REF!</v>
      </c>
      <c r="O136" s="12" t="e">
        <f t="shared" si="36"/>
        <v>#REF!</v>
      </c>
      <c r="P136" s="12" t="e">
        <f t="shared" si="37"/>
        <v>#REF!</v>
      </c>
    </row>
    <row r="137" spans="1:16" ht="15.75" hidden="1" x14ac:dyDescent="0.25">
      <c r="A137" s="49" t="s">
        <v>1850</v>
      </c>
      <c r="B137" s="49">
        <v>56</v>
      </c>
      <c r="C137" s="54" t="s">
        <v>1744</v>
      </c>
      <c r="D137" s="55" t="s">
        <v>626</v>
      </c>
      <c r="E137" s="52" t="s">
        <v>627</v>
      </c>
      <c r="F137" s="53"/>
      <c r="G137" s="53">
        <v>4.4610000000000003</v>
      </c>
      <c r="H137" s="53">
        <v>8.0000000000000002E-3</v>
      </c>
      <c r="I137" s="12">
        <f t="shared" si="33"/>
        <v>4.4690000000000003</v>
      </c>
      <c r="J137" s="52">
        <v>2229.8049999999998</v>
      </c>
      <c r="K137" s="52"/>
      <c r="L137" s="52">
        <f t="shared" si="34"/>
        <v>2229.8049999999998</v>
      </c>
      <c r="M137" s="52">
        <f t="shared" si="25"/>
        <v>498.94942940255083</v>
      </c>
      <c r="N137" s="12" t="e">
        <f t="shared" si="35"/>
        <v>#REF!</v>
      </c>
      <c r="O137" s="12" t="e">
        <f t="shared" si="36"/>
        <v>#REF!</v>
      </c>
      <c r="P137" s="12" t="e">
        <f t="shared" si="37"/>
        <v>#REF!</v>
      </c>
    </row>
    <row r="138" spans="1:16" ht="15.75" hidden="1" x14ac:dyDescent="0.25">
      <c r="A138" s="49" t="s">
        <v>1850</v>
      </c>
      <c r="B138" s="49">
        <v>57</v>
      </c>
      <c r="C138" s="54" t="s">
        <v>1744</v>
      </c>
      <c r="D138" s="55" t="s">
        <v>628</v>
      </c>
      <c r="E138" s="52" t="s">
        <v>629</v>
      </c>
      <c r="F138" s="53"/>
      <c r="G138" s="53">
        <v>7.6710000000000003</v>
      </c>
      <c r="H138" s="53">
        <v>1.2999999999999999E-2</v>
      </c>
      <c r="I138" s="12">
        <f t="shared" si="33"/>
        <v>7.6840000000000002</v>
      </c>
      <c r="J138" s="52">
        <v>9629.9740000000002</v>
      </c>
      <c r="K138" s="52"/>
      <c r="L138" s="52">
        <f t="shared" si="34"/>
        <v>9629.9740000000002</v>
      </c>
      <c r="M138" s="52">
        <f t="shared" si="25"/>
        <v>1253.2501301405518</v>
      </c>
      <c r="N138" s="12" t="e">
        <f t="shared" si="35"/>
        <v>#REF!</v>
      </c>
      <c r="O138" s="12" t="e">
        <f t="shared" si="36"/>
        <v>#REF!</v>
      </c>
      <c r="P138" s="12" t="e">
        <f t="shared" si="37"/>
        <v>#REF!</v>
      </c>
    </row>
    <row r="139" spans="1:16" ht="31.5" hidden="1" x14ac:dyDescent="0.25">
      <c r="A139" s="49" t="s">
        <v>1850</v>
      </c>
      <c r="B139" s="49">
        <v>58</v>
      </c>
      <c r="C139" s="54" t="s">
        <v>1744</v>
      </c>
      <c r="D139" s="55" t="s">
        <v>630</v>
      </c>
      <c r="E139" s="52" t="s">
        <v>631</v>
      </c>
      <c r="F139" s="53"/>
      <c r="G139" s="53">
        <v>4.9059999999999997</v>
      </c>
      <c r="H139" s="53">
        <v>1.4999999999999999E-2</v>
      </c>
      <c r="I139" s="12">
        <f t="shared" si="33"/>
        <v>4.9209999999999994</v>
      </c>
      <c r="J139" s="52">
        <f>2205.297+104.208</f>
        <v>2309.5050000000001</v>
      </c>
      <c r="K139" s="52"/>
      <c r="L139" s="52">
        <f t="shared" si="34"/>
        <v>2309.5050000000001</v>
      </c>
      <c r="M139" s="52">
        <f t="shared" si="25"/>
        <v>469.31619589514332</v>
      </c>
      <c r="N139" s="12" t="e">
        <f t="shared" si="35"/>
        <v>#REF!</v>
      </c>
      <c r="O139" s="12" t="e">
        <f t="shared" si="36"/>
        <v>#REF!</v>
      </c>
      <c r="P139" s="12" t="e">
        <f t="shared" si="37"/>
        <v>#REF!</v>
      </c>
    </row>
    <row r="140" spans="1:16" ht="31.5" hidden="1" x14ac:dyDescent="0.25">
      <c r="A140" s="49" t="s">
        <v>1850</v>
      </c>
      <c r="B140" s="49">
        <v>59</v>
      </c>
      <c r="C140" s="54" t="s">
        <v>1744</v>
      </c>
      <c r="D140" s="55" t="s">
        <v>632</v>
      </c>
      <c r="E140" s="52" t="s">
        <v>633</v>
      </c>
      <c r="F140" s="53"/>
      <c r="G140" s="53">
        <v>3.5680000000000001</v>
      </c>
      <c r="H140" s="53">
        <v>8.0000000000000002E-3</v>
      </c>
      <c r="I140" s="12">
        <f t="shared" si="33"/>
        <v>3.5760000000000001</v>
      </c>
      <c r="J140" s="52">
        <f>1601.891+2567.75874</f>
        <v>4169.6497400000007</v>
      </c>
      <c r="K140" s="52"/>
      <c r="L140" s="52">
        <f t="shared" si="34"/>
        <v>4169.6497400000007</v>
      </c>
      <c r="M140" s="52">
        <f t="shared" si="25"/>
        <v>1166.0094351230427</v>
      </c>
      <c r="N140" s="12" t="e">
        <f t="shared" si="35"/>
        <v>#REF!</v>
      </c>
      <c r="O140" s="12" t="e">
        <f t="shared" si="36"/>
        <v>#REF!</v>
      </c>
      <c r="P140" s="12" t="e">
        <f t="shared" si="37"/>
        <v>#REF!</v>
      </c>
    </row>
    <row r="141" spans="1:16" ht="18.75" hidden="1" x14ac:dyDescent="0.3">
      <c r="A141" s="49" t="s">
        <v>1850</v>
      </c>
      <c r="B141" s="49">
        <v>60</v>
      </c>
      <c r="C141" s="12" t="s">
        <v>1744</v>
      </c>
      <c r="D141" s="61" t="s">
        <v>1047</v>
      </c>
      <c r="E141" s="63" t="s">
        <v>1048</v>
      </c>
      <c r="F141" s="53"/>
      <c r="G141" s="53">
        <v>3.996</v>
      </c>
      <c r="H141" s="53">
        <v>1.2999999999999999E-2</v>
      </c>
      <c r="I141" s="12">
        <f t="shared" si="33"/>
        <v>4.0090000000000003</v>
      </c>
      <c r="J141" s="52">
        <v>2357.6722260000001</v>
      </c>
      <c r="K141" s="52"/>
      <c r="L141" s="52">
        <f>J141+K141</f>
        <v>2357.6722260000001</v>
      </c>
      <c r="M141" s="52">
        <f>L141/I141</f>
        <v>588.09484310301821</v>
      </c>
      <c r="N141" s="12" t="e">
        <f t="shared" si="35"/>
        <v>#REF!</v>
      </c>
      <c r="O141" s="12" t="e">
        <f t="shared" si="36"/>
        <v>#REF!</v>
      </c>
      <c r="P141" s="12" t="e">
        <f t="shared" si="37"/>
        <v>#REF!</v>
      </c>
    </row>
    <row r="142" spans="1:16" s="75" customFormat="1" ht="15.75" hidden="1" x14ac:dyDescent="0.25">
      <c r="A142" s="72" t="s">
        <v>1855</v>
      </c>
      <c r="B142" s="72" t="s">
        <v>1126</v>
      </c>
      <c r="C142" s="73" t="s">
        <v>1161</v>
      </c>
      <c r="D142" s="74"/>
      <c r="E142" s="71" t="s">
        <v>1215</v>
      </c>
      <c r="F142" s="76"/>
      <c r="G142" s="71">
        <f t="shared" ref="G142:L142" si="38">G143+G144+G158+G181</f>
        <v>3230.4110000000005</v>
      </c>
      <c r="H142" s="71">
        <f t="shared" si="38"/>
        <v>74.153999999999996</v>
      </c>
      <c r="I142" s="71">
        <f t="shared" si="38"/>
        <v>3304.5650000000001</v>
      </c>
      <c r="J142" s="71">
        <f t="shared" si="38"/>
        <v>6640876.4188199993</v>
      </c>
      <c r="K142" s="71">
        <f t="shared" si="38"/>
        <v>14468.976000000001</v>
      </c>
      <c r="L142" s="71">
        <f t="shared" si="38"/>
        <v>6655345.39482</v>
      </c>
      <c r="M142" s="71">
        <f>L142/I142</f>
        <v>2013.9853187393801</v>
      </c>
      <c r="N142" s="71" t="e">
        <f>M142/$M$1429</f>
        <v>#REF!</v>
      </c>
      <c r="O142" s="71" t="e">
        <f>O143+O144+O158+O181</f>
        <v>#REF!</v>
      </c>
      <c r="P142" s="71" t="e">
        <f>P143+P144+P158+P181</f>
        <v>#REF!</v>
      </c>
    </row>
    <row r="143" spans="1:16" ht="15.75" hidden="1" x14ac:dyDescent="0.25">
      <c r="A143" s="14" t="s">
        <v>1855</v>
      </c>
      <c r="B143" s="14" t="s">
        <v>1126</v>
      </c>
      <c r="C143" s="8" t="s">
        <v>1159</v>
      </c>
      <c r="D143" s="28" t="s">
        <v>1883</v>
      </c>
      <c r="E143" s="12" t="s">
        <v>1160</v>
      </c>
      <c r="F143" s="1"/>
      <c r="G143" s="1">
        <v>0</v>
      </c>
      <c r="H143" s="1">
        <v>0</v>
      </c>
      <c r="I143" s="12">
        <f>H143+G143</f>
        <v>0</v>
      </c>
      <c r="J143" s="12"/>
      <c r="K143" s="12"/>
      <c r="L143" s="12"/>
      <c r="M143" s="12"/>
      <c r="N143" s="12"/>
      <c r="O143" s="12"/>
      <c r="P143" s="12"/>
    </row>
    <row r="144" spans="1:16" ht="15.75" hidden="1" x14ac:dyDescent="0.25">
      <c r="A144" s="15" t="s">
        <v>1855</v>
      </c>
      <c r="B144" s="15" t="s">
        <v>1126</v>
      </c>
      <c r="C144" s="10" t="s">
        <v>1127</v>
      </c>
      <c r="D144" s="29"/>
      <c r="E144" s="37" t="s">
        <v>1128</v>
      </c>
      <c r="F144" s="6"/>
      <c r="G144" s="37">
        <f t="shared" ref="G144:L144" si="39">SUM(G145:G157)</f>
        <v>2403.8790000000004</v>
      </c>
      <c r="H144" s="37">
        <f>SUM(H145:H157)</f>
        <v>61.725999999999992</v>
      </c>
      <c r="I144" s="37">
        <f t="shared" si="39"/>
        <v>2465.605</v>
      </c>
      <c r="J144" s="37">
        <f t="shared" si="39"/>
        <v>5346069.4664899996</v>
      </c>
      <c r="K144" s="37">
        <f t="shared" si="39"/>
        <v>353.55599999999998</v>
      </c>
      <c r="L144" s="37">
        <f t="shared" si="39"/>
        <v>5346423.0224900004</v>
      </c>
      <c r="M144" s="37">
        <f t="shared" ref="M144:M207" si="40">L144/I144</f>
        <v>2168.4020848797759</v>
      </c>
      <c r="N144" s="37" t="e">
        <f>M144/$M$1429</f>
        <v>#REF!</v>
      </c>
      <c r="O144" s="37" t="e">
        <f>SUM(O145:O157)</f>
        <v>#REF!</v>
      </c>
      <c r="P144" s="37" t="e">
        <f>SUM(P145:P157)</f>
        <v>#REF!</v>
      </c>
    </row>
    <row r="145" spans="1:16" ht="15.75" hidden="1" x14ac:dyDescent="0.25">
      <c r="A145" s="14" t="s">
        <v>1855</v>
      </c>
      <c r="B145" s="14" t="s">
        <v>1811</v>
      </c>
      <c r="C145" s="8" t="s">
        <v>1119</v>
      </c>
      <c r="D145" s="28" t="s">
        <v>1884</v>
      </c>
      <c r="E145" s="12" t="s">
        <v>634</v>
      </c>
      <c r="F145" s="1"/>
      <c r="G145" s="1">
        <v>978.94299999999998</v>
      </c>
      <c r="H145" s="1">
        <v>35.14</v>
      </c>
      <c r="I145" s="12">
        <f t="shared" ref="I145:I157" si="41">H145+G145</f>
        <v>1014.083</v>
      </c>
      <c r="J145" s="12">
        <v>2678549.7540000002</v>
      </c>
      <c r="K145" s="12"/>
      <c r="L145" s="12">
        <f t="shared" ref="L145:L157" si="42">J145+K145</f>
        <v>2678549.7540000002</v>
      </c>
      <c r="M145" s="12">
        <f t="shared" si="40"/>
        <v>2641.3515994252939</v>
      </c>
      <c r="N145" s="12" t="e">
        <f t="shared" ref="N145:N157" si="43">M145/$M$1431</f>
        <v>#REF!</v>
      </c>
      <c r="O145" s="12" t="e">
        <f t="shared" ref="O145:O157" si="44">ROUND(IF(N145&lt;110%,0,(M145-$M$1431*1.1)*0.8)*I145,1)</f>
        <v>#REF!</v>
      </c>
      <c r="P145" s="12" t="e">
        <f t="shared" ref="P145:P157" si="45">ROUND(IF(N145&gt;90%,0,(-M145+$M$1431*0.9)*0.8)*I145,1)</f>
        <v>#REF!</v>
      </c>
    </row>
    <row r="146" spans="1:16" ht="15.75" hidden="1" x14ac:dyDescent="0.25">
      <c r="A146" s="14" t="s">
        <v>1855</v>
      </c>
      <c r="B146" s="14" t="s">
        <v>1810</v>
      </c>
      <c r="C146" s="8" t="s">
        <v>1119</v>
      </c>
      <c r="D146" s="28" t="s">
        <v>1885</v>
      </c>
      <c r="E146" s="12" t="s">
        <v>1184</v>
      </c>
      <c r="F146" s="1"/>
      <c r="G146" s="1">
        <v>23.478999999999999</v>
      </c>
      <c r="H146" s="1">
        <v>0.185</v>
      </c>
      <c r="I146" s="12">
        <f t="shared" si="41"/>
        <v>23.663999999999998</v>
      </c>
      <c r="J146" s="12">
        <v>51754.137000000002</v>
      </c>
      <c r="K146" s="12"/>
      <c r="L146" s="12">
        <f t="shared" si="42"/>
        <v>51754.137000000002</v>
      </c>
      <c r="M146" s="12">
        <f t="shared" si="40"/>
        <v>2187.0409482758623</v>
      </c>
      <c r="N146" s="12" t="e">
        <f t="shared" si="43"/>
        <v>#REF!</v>
      </c>
      <c r="O146" s="12" t="e">
        <f t="shared" si="44"/>
        <v>#REF!</v>
      </c>
      <c r="P146" s="12" t="e">
        <f t="shared" si="45"/>
        <v>#REF!</v>
      </c>
    </row>
    <row r="147" spans="1:16" ht="15.75" hidden="1" x14ac:dyDescent="0.25">
      <c r="A147" s="14" t="s">
        <v>1855</v>
      </c>
      <c r="B147" s="14" t="s">
        <v>1850</v>
      </c>
      <c r="C147" s="8" t="s">
        <v>1119</v>
      </c>
      <c r="D147" s="28" t="s">
        <v>1886</v>
      </c>
      <c r="E147" s="12" t="s">
        <v>635</v>
      </c>
      <c r="F147" s="1"/>
      <c r="G147" s="1">
        <v>244.20099999999999</v>
      </c>
      <c r="H147" s="1">
        <v>5.83</v>
      </c>
      <c r="I147" s="12">
        <f t="shared" si="41"/>
        <v>250.03100000000001</v>
      </c>
      <c r="J147" s="12">
        <v>350673.74599999998</v>
      </c>
      <c r="K147" s="12"/>
      <c r="L147" s="12">
        <f t="shared" si="42"/>
        <v>350673.74599999998</v>
      </c>
      <c r="M147" s="12">
        <f t="shared" si="40"/>
        <v>1402.5210713871479</v>
      </c>
      <c r="N147" s="12" t="e">
        <f t="shared" si="43"/>
        <v>#REF!</v>
      </c>
      <c r="O147" s="12" t="e">
        <f t="shared" si="44"/>
        <v>#REF!</v>
      </c>
      <c r="P147" s="12" t="e">
        <f t="shared" si="45"/>
        <v>#REF!</v>
      </c>
    </row>
    <row r="148" spans="1:16" ht="15.75" hidden="1" x14ac:dyDescent="0.25">
      <c r="A148" s="14" t="s">
        <v>1855</v>
      </c>
      <c r="B148" s="14" t="s">
        <v>1855</v>
      </c>
      <c r="C148" s="8" t="s">
        <v>1119</v>
      </c>
      <c r="D148" s="28" t="s">
        <v>1887</v>
      </c>
      <c r="E148" s="12" t="s">
        <v>1185</v>
      </c>
      <c r="F148" s="1"/>
      <c r="G148" s="1">
        <v>46.374000000000002</v>
      </c>
      <c r="H148" s="1">
        <v>0.46100000000000002</v>
      </c>
      <c r="I148" s="12">
        <f t="shared" si="41"/>
        <v>46.835000000000001</v>
      </c>
      <c r="J148" s="12">
        <v>58187.315000000002</v>
      </c>
      <c r="K148" s="12"/>
      <c r="L148" s="12">
        <f t="shared" si="42"/>
        <v>58187.315000000002</v>
      </c>
      <c r="M148" s="12">
        <f t="shared" si="40"/>
        <v>1242.3895590904237</v>
      </c>
      <c r="N148" s="12" t="e">
        <f t="shared" si="43"/>
        <v>#REF!</v>
      </c>
      <c r="O148" s="12" t="e">
        <f t="shared" si="44"/>
        <v>#REF!</v>
      </c>
      <c r="P148" s="12" t="e">
        <f t="shared" si="45"/>
        <v>#REF!</v>
      </c>
    </row>
    <row r="149" spans="1:16" ht="15.75" hidden="1" x14ac:dyDescent="0.25">
      <c r="A149" s="14" t="s">
        <v>1855</v>
      </c>
      <c r="B149" s="14" t="s">
        <v>1818</v>
      </c>
      <c r="C149" s="8" t="s">
        <v>1119</v>
      </c>
      <c r="D149" s="28" t="s">
        <v>1888</v>
      </c>
      <c r="E149" s="12" t="s">
        <v>1186</v>
      </c>
      <c r="F149" s="1"/>
      <c r="G149" s="1">
        <v>639.03099999999995</v>
      </c>
      <c r="H149" s="1">
        <v>7.7149999999999999</v>
      </c>
      <c r="I149" s="12">
        <f t="shared" si="41"/>
        <v>646.74599999999998</v>
      </c>
      <c r="J149" s="12">
        <v>1448690.1440000001</v>
      </c>
      <c r="K149" s="12">
        <f>589.26*0.6</f>
        <v>353.55599999999998</v>
      </c>
      <c r="L149" s="12">
        <f t="shared" si="42"/>
        <v>1449043.7000000002</v>
      </c>
      <c r="M149" s="12">
        <f t="shared" si="40"/>
        <v>2240.5143595785676</v>
      </c>
      <c r="N149" s="12" t="e">
        <f t="shared" si="43"/>
        <v>#REF!</v>
      </c>
      <c r="O149" s="12" t="e">
        <f t="shared" si="44"/>
        <v>#REF!</v>
      </c>
      <c r="P149" s="12" t="e">
        <f t="shared" si="45"/>
        <v>#REF!</v>
      </c>
    </row>
    <row r="150" spans="1:16" ht="15.75" hidden="1" x14ac:dyDescent="0.25">
      <c r="A150" s="14" t="s">
        <v>1855</v>
      </c>
      <c r="B150" s="14" t="s">
        <v>1820</v>
      </c>
      <c r="C150" s="8" t="s">
        <v>1119</v>
      </c>
      <c r="D150" s="28" t="s">
        <v>1889</v>
      </c>
      <c r="E150" s="12" t="s">
        <v>1187</v>
      </c>
      <c r="F150" s="1"/>
      <c r="G150" s="1">
        <v>48.76</v>
      </c>
      <c r="H150" s="1">
        <v>0.46700000000000003</v>
      </c>
      <c r="I150" s="12">
        <f t="shared" si="41"/>
        <v>49.226999999999997</v>
      </c>
      <c r="J150" s="12">
        <v>49834.63</v>
      </c>
      <c r="K150" s="12"/>
      <c r="L150" s="12">
        <f t="shared" si="42"/>
        <v>49834.63</v>
      </c>
      <c r="M150" s="12">
        <f t="shared" si="40"/>
        <v>1012.3434294188149</v>
      </c>
      <c r="N150" s="12" t="e">
        <f t="shared" si="43"/>
        <v>#REF!</v>
      </c>
      <c r="O150" s="12" t="e">
        <f t="shared" si="44"/>
        <v>#REF!</v>
      </c>
      <c r="P150" s="12" t="e">
        <f t="shared" si="45"/>
        <v>#REF!</v>
      </c>
    </row>
    <row r="151" spans="1:16" ht="15.75" hidden="1" x14ac:dyDescent="0.25">
      <c r="A151" s="14" t="s">
        <v>1855</v>
      </c>
      <c r="B151" s="14" t="s">
        <v>1822</v>
      </c>
      <c r="C151" s="8" t="s">
        <v>1119</v>
      </c>
      <c r="D151" s="28" t="s">
        <v>1890</v>
      </c>
      <c r="E151" s="12" t="s">
        <v>1188</v>
      </c>
      <c r="F151" s="1"/>
      <c r="G151" s="1">
        <v>113.889</v>
      </c>
      <c r="H151" s="1">
        <v>1.7310000000000001</v>
      </c>
      <c r="I151" s="12">
        <f t="shared" si="41"/>
        <v>115.61999999999999</v>
      </c>
      <c r="J151" s="12">
        <v>226290.478</v>
      </c>
      <c r="K151" s="12"/>
      <c r="L151" s="12">
        <f t="shared" si="42"/>
        <v>226290.478</v>
      </c>
      <c r="M151" s="12">
        <f t="shared" si="40"/>
        <v>1957.1914720636571</v>
      </c>
      <c r="N151" s="12" t="e">
        <f t="shared" si="43"/>
        <v>#REF!</v>
      </c>
      <c r="O151" s="12" t="e">
        <f t="shared" si="44"/>
        <v>#REF!</v>
      </c>
      <c r="P151" s="12" t="e">
        <f t="shared" si="45"/>
        <v>#REF!</v>
      </c>
    </row>
    <row r="152" spans="1:16" ht="15.75" hidden="1" x14ac:dyDescent="0.25">
      <c r="A152" s="14" t="s">
        <v>1855</v>
      </c>
      <c r="B152" s="14" t="s">
        <v>1824</v>
      </c>
      <c r="C152" s="8" t="s">
        <v>1119</v>
      </c>
      <c r="D152" s="28" t="s">
        <v>1891</v>
      </c>
      <c r="E152" s="12" t="s">
        <v>1189</v>
      </c>
      <c r="F152" s="1"/>
      <c r="G152" s="1">
        <v>71.111000000000004</v>
      </c>
      <c r="H152" s="1">
        <v>1.2969999999999999</v>
      </c>
      <c r="I152" s="12">
        <f t="shared" si="41"/>
        <v>72.408000000000001</v>
      </c>
      <c r="J152" s="12">
        <v>66291.051999999996</v>
      </c>
      <c r="K152" s="12"/>
      <c r="L152" s="12">
        <f t="shared" si="42"/>
        <v>66291.051999999996</v>
      </c>
      <c r="M152" s="12">
        <f t="shared" si="40"/>
        <v>915.52110264059218</v>
      </c>
      <c r="N152" s="12" t="e">
        <f t="shared" si="43"/>
        <v>#REF!</v>
      </c>
      <c r="O152" s="12" t="e">
        <f t="shared" si="44"/>
        <v>#REF!</v>
      </c>
      <c r="P152" s="12" t="e">
        <f t="shared" si="45"/>
        <v>#REF!</v>
      </c>
    </row>
    <row r="153" spans="1:16" ht="15.75" hidden="1" x14ac:dyDescent="0.25">
      <c r="A153" s="14" t="s">
        <v>1855</v>
      </c>
      <c r="B153" s="14" t="s">
        <v>1826</v>
      </c>
      <c r="C153" s="8" t="s">
        <v>1119</v>
      </c>
      <c r="D153" s="28" t="s">
        <v>1892</v>
      </c>
      <c r="E153" s="12" t="s">
        <v>636</v>
      </c>
      <c r="F153" s="1"/>
      <c r="G153" s="1">
        <v>41.82</v>
      </c>
      <c r="H153" s="1">
        <v>0.36099999999999999</v>
      </c>
      <c r="I153" s="12">
        <f t="shared" si="41"/>
        <v>42.180999999999997</v>
      </c>
      <c r="J153" s="12">
        <v>60172.453999999998</v>
      </c>
      <c r="K153" s="12"/>
      <c r="L153" s="12">
        <f t="shared" si="42"/>
        <v>60172.453999999998</v>
      </c>
      <c r="M153" s="12">
        <f t="shared" si="40"/>
        <v>1426.5298120006639</v>
      </c>
      <c r="N153" s="12" t="e">
        <f t="shared" si="43"/>
        <v>#REF!</v>
      </c>
      <c r="O153" s="12" t="e">
        <f t="shared" si="44"/>
        <v>#REF!</v>
      </c>
      <c r="P153" s="12" t="e">
        <f t="shared" si="45"/>
        <v>#REF!</v>
      </c>
    </row>
    <row r="154" spans="1:16" ht="15.75" hidden="1" x14ac:dyDescent="0.25">
      <c r="A154" s="14" t="s">
        <v>1855</v>
      </c>
      <c r="B154" s="14">
        <v>10</v>
      </c>
      <c r="C154" s="8" t="s">
        <v>1119</v>
      </c>
      <c r="D154" s="28" t="s">
        <v>1893</v>
      </c>
      <c r="E154" s="12" t="s">
        <v>1190</v>
      </c>
      <c r="F154" s="1"/>
      <c r="G154" s="1">
        <v>107.742</v>
      </c>
      <c r="H154" s="1">
        <v>3.3180000000000001</v>
      </c>
      <c r="I154" s="12">
        <f t="shared" si="41"/>
        <v>111.06</v>
      </c>
      <c r="J154" s="12">
        <v>167008.024</v>
      </c>
      <c r="K154" s="12"/>
      <c r="L154" s="12">
        <f t="shared" si="42"/>
        <v>167008.024</v>
      </c>
      <c r="M154" s="12">
        <f t="shared" si="40"/>
        <v>1503.7639474158113</v>
      </c>
      <c r="N154" s="12" t="e">
        <f t="shared" si="43"/>
        <v>#REF!</v>
      </c>
      <c r="O154" s="12" t="e">
        <f t="shared" si="44"/>
        <v>#REF!</v>
      </c>
      <c r="P154" s="12" t="e">
        <f t="shared" si="45"/>
        <v>#REF!</v>
      </c>
    </row>
    <row r="155" spans="1:16" ht="15.75" hidden="1" x14ac:dyDescent="0.25">
      <c r="A155" s="14" t="s">
        <v>1855</v>
      </c>
      <c r="B155" s="14">
        <v>11</v>
      </c>
      <c r="C155" s="8" t="s">
        <v>1119</v>
      </c>
      <c r="D155" s="28" t="s">
        <v>1894</v>
      </c>
      <c r="E155" s="12" t="s">
        <v>1191</v>
      </c>
      <c r="F155" s="1"/>
      <c r="G155" s="1">
        <v>28.696000000000002</v>
      </c>
      <c r="H155" s="1">
        <v>2.891</v>
      </c>
      <c r="I155" s="12">
        <f t="shared" si="41"/>
        <v>31.587000000000003</v>
      </c>
      <c r="J155" s="12">
        <v>72052.164999999994</v>
      </c>
      <c r="K155" s="12"/>
      <c r="L155" s="12">
        <f t="shared" si="42"/>
        <v>72052.164999999994</v>
      </c>
      <c r="M155" s="12">
        <f t="shared" si="40"/>
        <v>2281.0702187608822</v>
      </c>
      <c r="N155" s="12" t="e">
        <f t="shared" si="43"/>
        <v>#REF!</v>
      </c>
      <c r="O155" s="12" t="e">
        <f t="shared" si="44"/>
        <v>#REF!</v>
      </c>
      <c r="P155" s="12" t="e">
        <f t="shared" si="45"/>
        <v>#REF!</v>
      </c>
    </row>
    <row r="156" spans="1:16" ht="15.75" hidden="1" x14ac:dyDescent="0.25">
      <c r="A156" s="14" t="s">
        <v>1855</v>
      </c>
      <c r="B156" s="14">
        <v>12</v>
      </c>
      <c r="C156" s="8" t="s">
        <v>1119</v>
      </c>
      <c r="D156" s="28" t="s">
        <v>1895</v>
      </c>
      <c r="E156" s="12" t="s">
        <v>1192</v>
      </c>
      <c r="F156" s="1"/>
      <c r="G156" s="1">
        <v>31.114000000000001</v>
      </c>
      <c r="H156" s="1">
        <v>0.71899999999999997</v>
      </c>
      <c r="I156" s="12">
        <f t="shared" si="41"/>
        <v>31.833000000000002</v>
      </c>
      <c r="J156" s="12">
        <v>42194.84749</v>
      </c>
      <c r="K156" s="12"/>
      <c r="L156" s="12">
        <f t="shared" si="42"/>
        <v>42194.84749</v>
      </c>
      <c r="M156" s="12">
        <f t="shared" si="40"/>
        <v>1325.506470957811</v>
      </c>
      <c r="N156" s="12" t="e">
        <f t="shared" si="43"/>
        <v>#REF!</v>
      </c>
      <c r="O156" s="12" t="e">
        <f t="shared" si="44"/>
        <v>#REF!</v>
      </c>
      <c r="P156" s="12" t="e">
        <f t="shared" si="45"/>
        <v>#REF!</v>
      </c>
    </row>
    <row r="157" spans="1:16" ht="15.75" hidden="1" x14ac:dyDescent="0.25">
      <c r="A157" s="14" t="s">
        <v>1855</v>
      </c>
      <c r="B157" s="14">
        <v>13</v>
      </c>
      <c r="C157" s="8" t="s">
        <v>1119</v>
      </c>
      <c r="D157" s="28" t="s">
        <v>1896</v>
      </c>
      <c r="E157" s="12" t="s">
        <v>1193</v>
      </c>
      <c r="F157" s="1"/>
      <c r="G157" s="1">
        <v>28.719000000000001</v>
      </c>
      <c r="H157" s="1">
        <v>1.611</v>
      </c>
      <c r="I157" s="12">
        <f t="shared" si="41"/>
        <v>30.330000000000002</v>
      </c>
      <c r="J157" s="12">
        <v>74370.720000000001</v>
      </c>
      <c r="K157" s="12"/>
      <c r="L157" s="12">
        <f t="shared" si="42"/>
        <v>74370.720000000001</v>
      </c>
      <c r="M157" s="12">
        <f t="shared" si="40"/>
        <v>2452.051434223541</v>
      </c>
      <c r="N157" s="12" t="e">
        <f t="shared" si="43"/>
        <v>#REF!</v>
      </c>
      <c r="O157" s="12" t="e">
        <f t="shared" si="44"/>
        <v>#REF!</v>
      </c>
      <c r="P157" s="12" t="e">
        <f t="shared" si="45"/>
        <v>#REF!</v>
      </c>
    </row>
    <row r="158" spans="1:16" ht="15.75" hidden="1" x14ac:dyDescent="0.25">
      <c r="A158" s="15" t="s">
        <v>1855</v>
      </c>
      <c r="B158" s="15" t="s">
        <v>1126</v>
      </c>
      <c r="C158" s="10" t="s">
        <v>1157</v>
      </c>
      <c r="D158" s="29"/>
      <c r="E158" s="37" t="s">
        <v>1158</v>
      </c>
      <c r="F158" s="6"/>
      <c r="G158" s="37">
        <f t="shared" ref="G158:L158" si="46">SUM(G159:G180)</f>
        <v>404.52499999999992</v>
      </c>
      <c r="H158" s="37">
        <f>SUM(H159:H180)</f>
        <v>5.2309999999999999</v>
      </c>
      <c r="I158" s="37">
        <f t="shared" si="46"/>
        <v>409.75600000000014</v>
      </c>
      <c r="J158" s="37">
        <f t="shared" si="46"/>
        <v>542275.98482000001</v>
      </c>
      <c r="K158" s="37">
        <f t="shared" si="46"/>
        <v>0</v>
      </c>
      <c r="L158" s="37">
        <f t="shared" si="46"/>
        <v>542275.98482000001</v>
      </c>
      <c r="M158" s="37">
        <f t="shared" si="40"/>
        <v>1323.4119447183198</v>
      </c>
      <c r="N158" s="37" t="e">
        <f>M158/$M$1429</f>
        <v>#REF!</v>
      </c>
      <c r="O158" s="37" t="e">
        <f>SUM(O159:O180)</f>
        <v>#REF!</v>
      </c>
      <c r="P158" s="37" t="e">
        <f>SUM(P159:P180)</f>
        <v>#REF!</v>
      </c>
    </row>
    <row r="159" spans="1:16" ht="33" hidden="1" customHeight="1" x14ac:dyDescent="0.25">
      <c r="A159" s="16" t="s">
        <v>1855</v>
      </c>
      <c r="B159" s="16">
        <v>14</v>
      </c>
      <c r="C159" s="11" t="s">
        <v>1129</v>
      </c>
      <c r="D159" s="32" t="s">
        <v>1897</v>
      </c>
      <c r="E159" s="47" t="s">
        <v>1194</v>
      </c>
      <c r="F159" s="48"/>
      <c r="G159" s="48">
        <v>0</v>
      </c>
      <c r="H159" s="48">
        <v>0</v>
      </c>
      <c r="I159" s="12">
        <f t="shared" ref="I159:I180" si="47">H159+G159</f>
        <v>0</v>
      </c>
      <c r="J159" s="47">
        <f>-52.69897+52.69897</f>
        <v>0</v>
      </c>
      <c r="K159" s="47"/>
      <c r="L159" s="47"/>
      <c r="M159" s="47"/>
      <c r="N159" s="12"/>
      <c r="O159" s="12"/>
      <c r="P159" s="12"/>
    </row>
    <row r="160" spans="1:16" ht="15.75" hidden="1" x14ac:dyDescent="0.25">
      <c r="A160" s="14" t="s">
        <v>1855</v>
      </c>
      <c r="B160" s="14">
        <v>15</v>
      </c>
      <c r="C160" s="8" t="s">
        <v>1129</v>
      </c>
      <c r="D160" s="28" t="s">
        <v>1898</v>
      </c>
      <c r="E160" s="12" t="s">
        <v>1195</v>
      </c>
      <c r="F160" s="1"/>
      <c r="G160" s="1">
        <v>12.118</v>
      </c>
      <c r="H160" s="1">
        <v>0.19900000000000001</v>
      </c>
      <c r="I160" s="12">
        <f t="shared" si="47"/>
        <v>12.317</v>
      </c>
      <c r="J160" s="12">
        <f>14305.649-4807.581</f>
        <v>9498.0679999999993</v>
      </c>
      <c r="K160" s="12"/>
      <c r="L160" s="12">
        <f t="shared" ref="L160:L180" si="48">J160+K160</f>
        <v>9498.0679999999993</v>
      </c>
      <c r="M160" s="12">
        <f t="shared" si="40"/>
        <v>771.13485426646093</v>
      </c>
      <c r="N160" s="12" t="e">
        <f t="shared" ref="N160:N180" si="49">M160/$M$1432</f>
        <v>#REF!</v>
      </c>
      <c r="O160" s="12" t="e">
        <f t="shared" ref="O160:O180" si="50">ROUND(IF(N160&lt;110%,0,(M160-$M$1432*1.1)*0.8)*I160,1)</f>
        <v>#REF!</v>
      </c>
      <c r="P160" s="12" t="e">
        <f t="shared" ref="P160:P180" si="51">ROUND(IF(N160&gt;90%,0,(-M160+$M$1432*0.9)*0.8)*I160,1)</f>
        <v>#REF!</v>
      </c>
    </row>
    <row r="161" spans="1:16" ht="15.75" hidden="1" x14ac:dyDescent="0.25">
      <c r="A161" s="14" t="s">
        <v>1855</v>
      </c>
      <c r="B161" s="14">
        <v>16</v>
      </c>
      <c r="C161" s="8" t="s">
        <v>1129</v>
      </c>
      <c r="D161" s="28" t="s">
        <v>1899</v>
      </c>
      <c r="E161" s="12" t="s">
        <v>1196</v>
      </c>
      <c r="F161" s="1"/>
      <c r="G161" s="1">
        <v>35.57</v>
      </c>
      <c r="H161" s="1">
        <v>0.22700000000000001</v>
      </c>
      <c r="I161" s="12">
        <f t="shared" si="47"/>
        <v>35.796999999999997</v>
      </c>
      <c r="J161" s="12">
        <f>64669.093-23894.2</f>
        <v>40774.892999999996</v>
      </c>
      <c r="K161" s="12"/>
      <c r="L161" s="12">
        <f t="shared" si="48"/>
        <v>40774.892999999996</v>
      </c>
      <c r="M161" s="12">
        <f t="shared" si="40"/>
        <v>1139.0589434868843</v>
      </c>
      <c r="N161" s="12" t="e">
        <f t="shared" si="49"/>
        <v>#REF!</v>
      </c>
      <c r="O161" s="12" t="e">
        <f t="shared" si="50"/>
        <v>#REF!</v>
      </c>
      <c r="P161" s="12" t="e">
        <f t="shared" si="51"/>
        <v>#REF!</v>
      </c>
    </row>
    <row r="162" spans="1:16" ht="15.75" hidden="1" x14ac:dyDescent="0.25">
      <c r="A162" s="14" t="s">
        <v>1855</v>
      </c>
      <c r="B162" s="14">
        <v>17</v>
      </c>
      <c r="C162" s="8" t="s">
        <v>1129</v>
      </c>
      <c r="D162" s="28" t="s">
        <v>1900</v>
      </c>
      <c r="E162" s="12" t="s">
        <v>637</v>
      </c>
      <c r="F162" s="1"/>
      <c r="G162" s="1">
        <v>49.485999999999997</v>
      </c>
      <c r="H162" s="1">
        <v>0.93100000000000005</v>
      </c>
      <c r="I162" s="12">
        <f t="shared" si="47"/>
        <v>50.416999999999994</v>
      </c>
      <c r="J162" s="12">
        <f>47888.998-3489.304</f>
        <v>44399.694000000003</v>
      </c>
      <c r="K162" s="12"/>
      <c r="L162" s="12">
        <f t="shared" si="48"/>
        <v>44399.694000000003</v>
      </c>
      <c r="M162" s="12">
        <f t="shared" si="40"/>
        <v>880.64926512882573</v>
      </c>
      <c r="N162" s="12" t="e">
        <f t="shared" si="49"/>
        <v>#REF!</v>
      </c>
      <c r="O162" s="12" t="e">
        <f t="shared" si="50"/>
        <v>#REF!</v>
      </c>
      <c r="P162" s="12" t="e">
        <f t="shared" si="51"/>
        <v>#REF!</v>
      </c>
    </row>
    <row r="163" spans="1:16" ht="15.75" hidden="1" x14ac:dyDescent="0.25">
      <c r="A163" s="14" t="s">
        <v>1855</v>
      </c>
      <c r="B163" s="14">
        <v>18</v>
      </c>
      <c r="C163" s="8" t="s">
        <v>1129</v>
      </c>
      <c r="D163" s="28" t="s">
        <v>1901</v>
      </c>
      <c r="E163" s="12" t="s">
        <v>1197</v>
      </c>
      <c r="F163" s="1"/>
      <c r="G163" s="1">
        <v>45.22</v>
      </c>
      <c r="H163" s="1">
        <v>0.14599999999999999</v>
      </c>
      <c r="I163" s="12">
        <f t="shared" si="47"/>
        <v>45.366</v>
      </c>
      <c r="J163" s="12">
        <v>48898.843999999997</v>
      </c>
      <c r="K163" s="12"/>
      <c r="L163" s="12">
        <f t="shared" si="48"/>
        <v>48898.843999999997</v>
      </c>
      <c r="M163" s="12">
        <f t="shared" si="40"/>
        <v>1077.8742670722568</v>
      </c>
      <c r="N163" s="12" t="e">
        <f t="shared" si="49"/>
        <v>#REF!</v>
      </c>
      <c r="O163" s="12" t="e">
        <f t="shared" si="50"/>
        <v>#REF!</v>
      </c>
      <c r="P163" s="12" t="e">
        <f t="shared" si="51"/>
        <v>#REF!</v>
      </c>
    </row>
    <row r="164" spans="1:16" ht="15.75" hidden="1" x14ac:dyDescent="0.25">
      <c r="A164" s="14" t="s">
        <v>1855</v>
      </c>
      <c r="B164" s="14">
        <v>19</v>
      </c>
      <c r="C164" s="8" t="s">
        <v>1129</v>
      </c>
      <c r="D164" s="28" t="s">
        <v>1902</v>
      </c>
      <c r="E164" s="12" t="s">
        <v>1198</v>
      </c>
      <c r="F164" s="1"/>
      <c r="G164" s="1">
        <v>15.244</v>
      </c>
      <c r="H164" s="1">
        <v>7.0000000000000007E-2</v>
      </c>
      <c r="I164" s="12">
        <f t="shared" si="47"/>
        <v>15.314</v>
      </c>
      <c r="J164" s="12">
        <v>15588.487999999999</v>
      </c>
      <c r="K164" s="12"/>
      <c r="L164" s="12">
        <f t="shared" si="48"/>
        <v>15588.487999999999</v>
      </c>
      <c r="M164" s="12">
        <f t="shared" si="40"/>
        <v>1017.9239911192373</v>
      </c>
      <c r="N164" s="12" t="e">
        <f t="shared" si="49"/>
        <v>#REF!</v>
      </c>
      <c r="O164" s="12" t="e">
        <f t="shared" si="50"/>
        <v>#REF!</v>
      </c>
      <c r="P164" s="12" t="e">
        <f t="shared" si="51"/>
        <v>#REF!</v>
      </c>
    </row>
    <row r="165" spans="1:16" ht="15.75" hidden="1" x14ac:dyDescent="0.25">
      <c r="A165" s="14" t="s">
        <v>1855</v>
      </c>
      <c r="B165" s="14">
        <v>20</v>
      </c>
      <c r="C165" s="8" t="s">
        <v>1129</v>
      </c>
      <c r="D165" s="28" t="s">
        <v>1903</v>
      </c>
      <c r="E165" s="12" t="s">
        <v>1199</v>
      </c>
      <c r="F165" s="1"/>
      <c r="G165" s="1">
        <v>33.747999999999998</v>
      </c>
      <c r="H165" s="1">
        <v>0.27500000000000002</v>
      </c>
      <c r="I165" s="12">
        <f t="shared" si="47"/>
        <v>34.022999999999996</v>
      </c>
      <c r="J165" s="12">
        <v>43893.270680000001</v>
      </c>
      <c r="K165" s="12"/>
      <c r="L165" s="12">
        <f t="shared" si="48"/>
        <v>43893.270680000001</v>
      </c>
      <c r="M165" s="12">
        <f t="shared" si="40"/>
        <v>1290.1058307615438</v>
      </c>
      <c r="N165" s="12" t="e">
        <f t="shared" si="49"/>
        <v>#REF!</v>
      </c>
      <c r="O165" s="12" t="e">
        <f t="shared" si="50"/>
        <v>#REF!</v>
      </c>
      <c r="P165" s="12" t="e">
        <f t="shared" si="51"/>
        <v>#REF!</v>
      </c>
    </row>
    <row r="166" spans="1:16" ht="15.75" hidden="1" x14ac:dyDescent="0.25">
      <c r="A166" s="14" t="s">
        <v>1855</v>
      </c>
      <c r="B166" s="14">
        <v>21</v>
      </c>
      <c r="C166" s="8" t="s">
        <v>1129</v>
      </c>
      <c r="D166" s="28" t="s">
        <v>1904</v>
      </c>
      <c r="E166" s="12" t="s">
        <v>1200</v>
      </c>
      <c r="F166" s="1"/>
      <c r="G166" s="1">
        <v>3.6339999999999999</v>
      </c>
      <c r="H166" s="1">
        <v>0.19600000000000001</v>
      </c>
      <c r="I166" s="12">
        <f t="shared" si="47"/>
        <v>3.83</v>
      </c>
      <c r="J166" s="12">
        <f>24761.44-17734.50715</f>
        <v>7026.9328499999974</v>
      </c>
      <c r="K166" s="12"/>
      <c r="L166" s="12">
        <f t="shared" si="48"/>
        <v>7026.9328499999974</v>
      </c>
      <c r="M166" s="12">
        <f t="shared" si="40"/>
        <v>1834.7083159268923</v>
      </c>
      <c r="N166" s="12" t="e">
        <f t="shared" si="49"/>
        <v>#REF!</v>
      </c>
      <c r="O166" s="12" t="e">
        <f t="shared" si="50"/>
        <v>#REF!</v>
      </c>
      <c r="P166" s="12" t="e">
        <f t="shared" si="51"/>
        <v>#REF!</v>
      </c>
    </row>
    <row r="167" spans="1:16" ht="15.75" hidden="1" x14ac:dyDescent="0.25">
      <c r="A167" s="14" t="s">
        <v>1855</v>
      </c>
      <c r="B167" s="14">
        <v>22</v>
      </c>
      <c r="C167" s="8" t="s">
        <v>1129</v>
      </c>
      <c r="D167" s="28" t="s">
        <v>1905</v>
      </c>
      <c r="E167" s="12" t="s">
        <v>1201</v>
      </c>
      <c r="F167" s="1"/>
      <c r="G167" s="1">
        <v>16.506</v>
      </c>
      <c r="H167" s="1">
        <v>3.9E-2</v>
      </c>
      <c r="I167" s="12">
        <f t="shared" si="47"/>
        <v>16.545000000000002</v>
      </c>
      <c r="J167" s="12">
        <f>41732.444-4486.87222-17968.37888-10545.91162</f>
        <v>8731.2812800000047</v>
      </c>
      <c r="K167" s="12"/>
      <c r="L167" s="12">
        <f t="shared" si="48"/>
        <v>8731.2812800000047</v>
      </c>
      <c r="M167" s="12">
        <f t="shared" si="40"/>
        <v>527.72930069507424</v>
      </c>
      <c r="N167" s="12" t="e">
        <f t="shared" si="49"/>
        <v>#REF!</v>
      </c>
      <c r="O167" s="12" t="e">
        <f t="shared" si="50"/>
        <v>#REF!</v>
      </c>
      <c r="P167" s="12" t="e">
        <f t="shared" si="51"/>
        <v>#REF!</v>
      </c>
    </row>
    <row r="168" spans="1:16" ht="15.75" hidden="1" x14ac:dyDescent="0.25">
      <c r="A168" s="14" t="s">
        <v>1855</v>
      </c>
      <c r="B168" s="14">
        <v>23</v>
      </c>
      <c r="C168" s="8" t="s">
        <v>1129</v>
      </c>
      <c r="D168" s="28" t="s">
        <v>1906</v>
      </c>
      <c r="E168" s="12" t="s">
        <v>1202</v>
      </c>
      <c r="F168" s="1"/>
      <c r="G168" s="1">
        <v>73.884</v>
      </c>
      <c r="H168" s="1">
        <v>0.69399999999999995</v>
      </c>
      <c r="I168" s="12">
        <f t="shared" si="47"/>
        <v>74.578000000000003</v>
      </c>
      <c r="J168" s="12">
        <v>187030.87763</v>
      </c>
      <c r="K168" s="12"/>
      <c r="L168" s="12">
        <f t="shared" si="48"/>
        <v>187030.87763</v>
      </c>
      <c r="M168" s="12">
        <f t="shared" si="40"/>
        <v>2507.8559042881279</v>
      </c>
      <c r="N168" s="12" t="e">
        <f t="shared" si="49"/>
        <v>#REF!</v>
      </c>
      <c r="O168" s="12" t="e">
        <f t="shared" si="50"/>
        <v>#REF!</v>
      </c>
      <c r="P168" s="12" t="e">
        <f t="shared" si="51"/>
        <v>#REF!</v>
      </c>
    </row>
    <row r="169" spans="1:16" ht="15.75" hidden="1" x14ac:dyDescent="0.25">
      <c r="A169" s="14" t="s">
        <v>1855</v>
      </c>
      <c r="B169" s="14">
        <v>24</v>
      </c>
      <c r="C169" s="8" t="s">
        <v>1129</v>
      </c>
      <c r="D169" s="28" t="s">
        <v>1907</v>
      </c>
      <c r="E169" s="12" t="s">
        <v>1203</v>
      </c>
      <c r="F169" s="1"/>
      <c r="G169" s="1">
        <v>3.27</v>
      </c>
      <c r="H169" s="1">
        <v>7.4999999999999997E-2</v>
      </c>
      <c r="I169" s="12">
        <f t="shared" si="47"/>
        <v>3.3450000000000002</v>
      </c>
      <c r="J169" s="12">
        <f>39435.987-5707.218-31378.074</f>
        <v>2350.6949999999997</v>
      </c>
      <c r="K169" s="12"/>
      <c r="L169" s="12">
        <f t="shared" si="48"/>
        <v>2350.6949999999997</v>
      </c>
      <c r="M169" s="12">
        <f t="shared" si="40"/>
        <v>702.74887892376671</v>
      </c>
      <c r="N169" s="12" t="e">
        <f t="shared" si="49"/>
        <v>#REF!</v>
      </c>
      <c r="O169" s="12" t="e">
        <f t="shared" si="50"/>
        <v>#REF!</v>
      </c>
      <c r="P169" s="12" t="e">
        <f t="shared" si="51"/>
        <v>#REF!</v>
      </c>
    </row>
    <row r="170" spans="1:16" ht="15.75" hidden="1" x14ac:dyDescent="0.25">
      <c r="A170" s="14" t="s">
        <v>1855</v>
      </c>
      <c r="B170" s="14">
        <v>25</v>
      </c>
      <c r="C170" s="8" t="s">
        <v>1129</v>
      </c>
      <c r="D170" s="28" t="s">
        <v>1908</v>
      </c>
      <c r="E170" s="12" t="s">
        <v>1204</v>
      </c>
      <c r="F170" s="1"/>
      <c r="G170" s="1">
        <v>16.597999999999999</v>
      </c>
      <c r="H170" s="1">
        <v>8.2000000000000003E-2</v>
      </c>
      <c r="I170" s="12">
        <f t="shared" si="47"/>
        <v>16.68</v>
      </c>
      <c r="J170" s="12">
        <f>38422.307-8948.7</f>
        <v>29473.607</v>
      </c>
      <c r="K170" s="12"/>
      <c r="L170" s="12">
        <f t="shared" si="48"/>
        <v>29473.607</v>
      </c>
      <c r="M170" s="12">
        <f t="shared" si="40"/>
        <v>1767.0028177458034</v>
      </c>
      <c r="N170" s="12" t="e">
        <f t="shared" si="49"/>
        <v>#REF!</v>
      </c>
      <c r="O170" s="12" t="e">
        <f t="shared" si="50"/>
        <v>#REF!</v>
      </c>
      <c r="P170" s="12" t="e">
        <f t="shared" si="51"/>
        <v>#REF!</v>
      </c>
    </row>
    <row r="171" spans="1:16" ht="15.75" hidden="1" x14ac:dyDescent="0.25">
      <c r="A171" s="14" t="s">
        <v>1855</v>
      </c>
      <c r="B171" s="14">
        <v>26</v>
      </c>
      <c r="C171" s="8" t="s">
        <v>1129</v>
      </c>
      <c r="D171" s="28" t="s">
        <v>1909</v>
      </c>
      <c r="E171" s="12" t="s">
        <v>1205</v>
      </c>
      <c r="F171" s="1"/>
      <c r="G171" s="1">
        <v>17.132000000000001</v>
      </c>
      <c r="H171" s="1">
        <v>1.411</v>
      </c>
      <c r="I171" s="12">
        <f t="shared" si="47"/>
        <v>18.543000000000003</v>
      </c>
      <c r="J171" s="12">
        <f>47886.966-27458-1552</f>
        <v>18876.966</v>
      </c>
      <c r="K171" s="12"/>
      <c r="L171" s="12">
        <f t="shared" si="48"/>
        <v>18876.966</v>
      </c>
      <c r="M171" s="12">
        <f t="shared" si="40"/>
        <v>1018.0103543115999</v>
      </c>
      <c r="N171" s="12" t="e">
        <f t="shared" si="49"/>
        <v>#REF!</v>
      </c>
      <c r="O171" s="12" t="e">
        <f t="shared" si="50"/>
        <v>#REF!</v>
      </c>
      <c r="P171" s="12" t="e">
        <f t="shared" si="51"/>
        <v>#REF!</v>
      </c>
    </row>
    <row r="172" spans="1:16" ht="15.75" hidden="1" x14ac:dyDescent="0.25">
      <c r="A172" s="14" t="s">
        <v>1855</v>
      </c>
      <c r="B172" s="14">
        <v>27</v>
      </c>
      <c r="C172" s="8" t="s">
        <v>1129</v>
      </c>
      <c r="D172" s="28" t="s">
        <v>1910</v>
      </c>
      <c r="E172" s="12" t="s">
        <v>1206</v>
      </c>
      <c r="F172" s="1"/>
      <c r="G172" s="1">
        <v>8.9469999999999992</v>
      </c>
      <c r="H172" s="1">
        <v>0.57399999999999995</v>
      </c>
      <c r="I172" s="12">
        <f t="shared" si="47"/>
        <v>9.520999999999999</v>
      </c>
      <c r="J172" s="12">
        <v>10700.513999999999</v>
      </c>
      <c r="K172" s="12"/>
      <c r="L172" s="12">
        <f t="shared" si="48"/>
        <v>10700.513999999999</v>
      </c>
      <c r="M172" s="12">
        <f t="shared" si="40"/>
        <v>1123.8855162272871</v>
      </c>
      <c r="N172" s="12" t="e">
        <f t="shared" si="49"/>
        <v>#REF!</v>
      </c>
      <c r="O172" s="12" t="e">
        <f t="shared" si="50"/>
        <v>#REF!</v>
      </c>
      <c r="P172" s="12" t="e">
        <f t="shared" si="51"/>
        <v>#REF!</v>
      </c>
    </row>
    <row r="173" spans="1:16" ht="15.75" hidden="1" x14ac:dyDescent="0.25">
      <c r="A173" s="14" t="s">
        <v>1855</v>
      </c>
      <c r="B173" s="14">
        <v>28</v>
      </c>
      <c r="C173" s="8" t="s">
        <v>1129</v>
      </c>
      <c r="D173" s="28" t="s">
        <v>1911</v>
      </c>
      <c r="E173" s="12" t="s">
        <v>1207</v>
      </c>
      <c r="F173" s="1"/>
      <c r="G173" s="1">
        <v>31.658999999999999</v>
      </c>
      <c r="H173" s="1">
        <v>0.17499999999999999</v>
      </c>
      <c r="I173" s="12">
        <f t="shared" si="47"/>
        <v>31.834</v>
      </c>
      <c r="J173" s="12">
        <f>44730.579-5430.14971</f>
        <v>39300.42929</v>
      </c>
      <c r="K173" s="12"/>
      <c r="L173" s="12">
        <f t="shared" si="48"/>
        <v>39300.42929</v>
      </c>
      <c r="M173" s="12">
        <f t="shared" si="40"/>
        <v>1234.5426050763335</v>
      </c>
      <c r="N173" s="12" t="e">
        <f t="shared" si="49"/>
        <v>#REF!</v>
      </c>
      <c r="O173" s="12" t="e">
        <f t="shared" si="50"/>
        <v>#REF!</v>
      </c>
      <c r="P173" s="12" t="e">
        <f t="shared" si="51"/>
        <v>#REF!</v>
      </c>
    </row>
    <row r="174" spans="1:16" ht="15.75" hidden="1" x14ac:dyDescent="0.25">
      <c r="A174" s="14" t="s">
        <v>1855</v>
      </c>
      <c r="B174" s="14">
        <v>29</v>
      </c>
      <c r="C174" s="8" t="s">
        <v>1129</v>
      </c>
      <c r="D174" s="28" t="s">
        <v>1912</v>
      </c>
      <c r="E174" s="12" t="s">
        <v>1208</v>
      </c>
      <c r="F174" s="1"/>
      <c r="G174" s="1">
        <v>1.78</v>
      </c>
      <c r="H174" s="1">
        <v>1.0999999999999999E-2</v>
      </c>
      <c r="I174" s="12">
        <f t="shared" si="47"/>
        <v>1.7909999999999999</v>
      </c>
      <c r="J174" s="12">
        <f>34389.83904-7785.38001-11098.01433-7183.43945-6562.5394-498.42001</f>
        <v>1262.0458399999986</v>
      </c>
      <c r="K174" s="12"/>
      <c r="L174" s="12">
        <f t="shared" si="48"/>
        <v>1262.0458399999986</v>
      </c>
      <c r="M174" s="12">
        <f t="shared" si="40"/>
        <v>704.65987716359507</v>
      </c>
      <c r="N174" s="12" t="e">
        <f t="shared" si="49"/>
        <v>#REF!</v>
      </c>
      <c r="O174" s="12" t="e">
        <f t="shared" si="50"/>
        <v>#REF!</v>
      </c>
      <c r="P174" s="12" t="e">
        <f t="shared" si="51"/>
        <v>#REF!</v>
      </c>
    </row>
    <row r="175" spans="1:16" ht="15.75" hidden="1" x14ac:dyDescent="0.25">
      <c r="A175" s="14" t="s">
        <v>1855</v>
      </c>
      <c r="B175" s="14">
        <v>30</v>
      </c>
      <c r="C175" s="8" t="s">
        <v>1129</v>
      </c>
      <c r="D175" s="28" t="s">
        <v>1913</v>
      </c>
      <c r="E175" s="12" t="s">
        <v>1209</v>
      </c>
      <c r="F175" s="1"/>
      <c r="G175" s="1">
        <v>15.957000000000001</v>
      </c>
      <c r="H175" s="1">
        <v>6.4000000000000001E-2</v>
      </c>
      <c r="I175" s="12">
        <f t="shared" si="47"/>
        <v>16.021000000000001</v>
      </c>
      <c r="J175" s="12">
        <v>13477.337</v>
      </c>
      <c r="K175" s="12"/>
      <c r="L175" s="12">
        <f t="shared" si="48"/>
        <v>13477.337</v>
      </c>
      <c r="M175" s="12">
        <f t="shared" si="40"/>
        <v>841.22944884838637</v>
      </c>
      <c r="N175" s="12" t="e">
        <f t="shared" si="49"/>
        <v>#REF!</v>
      </c>
      <c r="O175" s="12" t="e">
        <f t="shared" si="50"/>
        <v>#REF!</v>
      </c>
      <c r="P175" s="12" t="e">
        <f t="shared" si="51"/>
        <v>#REF!</v>
      </c>
    </row>
    <row r="176" spans="1:16" ht="15.75" hidden="1" x14ac:dyDescent="0.25">
      <c r="A176" s="14" t="s">
        <v>1855</v>
      </c>
      <c r="B176" s="14">
        <v>31</v>
      </c>
      <c r="C176" s="8" t="s">
        <v>1129</v>
      </c>
      <c r="D176" s="28" t="s">
        <v>1914</v>
      </c>
      <c r="E176" s="12" t="s">
        <v>1210</v>
      </c>
      <c r="F176" s="1"/>
      <c r="G176" s="1">
        <v>6.76</v>
      </c>
      <c r="H176" s="1">
        <v>1.0999999999999999E-2</v>
      </c>
      <c r="I176" s="12">
        <f t="shared" si="47"/>
        <v>6.7709999999999999</v>
      </c>
      <c r="J176" s="12">
        <f>8499.76-4754.4</f>
        <v>3745.3600000000006</v>
      </c>
      <c r="K176" s="12"/>
      <c r="L176" s="12">
        <f t="shared" si="48"/>
        <v>3745.3600000000006</v>
      </c>
      <c r="M176" s="12">
        <f t="shared" si="40"/>
        <v>553.14724560626212</v>
      </c>
      <c r="N176" s="12" t="e">
        <f t="shared" si="49"/>
        <v>#REF!</v>
      </c>
      <c r="O176" s="12" t="e">
        <f t="shared" si="50"/>
        <v>#REF!</v>
      </c>
      <c r="P176" s="12" t="e">
        <f t="shared" si="51"/>
        <v>#REF!</v>
      </c>
    </row>
    <row r="177" spans="1:16" ht="15.75" hidden="1" x14ac:dyDescent="0.25">
      <c r="A177" s="14" t="s">
        <v>1855</v>
      </c>
      <c r="B177" s="14">
        <v>32</v>
      </c>
      <c r="C177" s="8" t="s">
        <v>1129</v>
      </c>
      <c r="D177" s="28" t="s">
        <v>1915</v>
      </c>
      <c r="E177" s="12" t="s">
        <v>1211</v>
      </c>
      <c r="F177" s="1"/>
      <c r="G177" s="1">
        <v>6.7629999999999999</v>
      </c>
      <c r="H177" s="1">
        <v>6.0000000000000001E-3</v>
      </c>
      <c r="I177" s="12">
        <f t="shared" si="47"/>
        <v>6.7690000000000001</v>
      </c>
      <c r="J177" s="12">
        <v>6875.4009999999998</v>
      </c>
      <c r="K177" s="12"/>
      <c r="L177" s="12">
        <f t="shared" si="48"/>
        <v>6875.4009999999998</v>
      </c>
      <c r="M177" s="12">
        <f t="shared" si="40"/>
        <v>1015.7188654158664</v>
      </c>
      <c r="N177" s="12" t="e">
        <f t="shared" si="49"/>
        <v>#REF!</v>
      </c>
      <c r="O177" s="12" t="e">
        <f t="shared" si="50"/>
        <v>#REF!</v>
      </c>
      <c r="P177" s="12" t="e">
        <f t="shared" si="51"/>
        <v>#REF!</v>
      </c>
    </row>
    <row r="178" spans="1:16" ht="15.75" hidden="1" x14ac:dyDescent="0.25">
      <c r="A178" s="14" t="s">
        <v>1855</v>
      </c>
      <c r="B178" s="14">
        <v>33</v>
      </c>
      <c r="C178" s="8" t="s">
        <v>1129</v>
      </c>
      <c r="D178" s="28" t="s">
        <v>1916</v>
      </c>
      <c r="E178" s="12" t="s">
        <v>1212</v>
      </c>
      <c r="F178" s="1"/>
      <c r="G178" s="1">
        <v>2.6110000000000002</v>
      </c>
      <c r="H178" s="1">
        <v>1.7999999999999999E-2</v>
      </c>
      <c r="I178" s="12">
        <f t="shared" si="47"/>
        <v>2.629</v>
      </c>
      <c r="J178" s="12">
        <f>4024.571-2672.08156</f>
        <v>1352.4894399999998</v>
      </c>
      <c r="K178" s="12"/>
      <c r="L178" s="12">
        <f t="shared" si="48"/>
        <v>1352.4894399999998</v>
      </c>
      <c r="M178" s="12">
        <f t="shared" si="40"/>
        <v>514.45014834537835</v>
      </c>
      <c r="N178" s="12" t="e">
        <f t="shared" si="49"/>
        <v>#REF!</v>
      </c>
      <c r="O178" s="12" t="e">
        <f t="shared" si="50"/>
        <v>#REF!</v>
      </c>
      <c r="P178" s="12" t="e">
        <f t="shared" si="51"/>
        <v>#REF!</v>
      </c>
    </row>
    <row r="179" spans="1:16" ht="15.75" hidden="1" x14ac:dyDescent="0.25">
      <c r="A179" s="14" t="s">
        <v>1855</v>
      </c>
      <c r="B179" s="14">
        <v>34</v>
      </c>
      <c r="C179" s="8" t="s">
        <v>1129</v>
      </c>
      <c r="D179" s="28" t="s">
        <v>1917</v>
      </c>
      <c r="E179" s="12" t="s">
        <v>1213</v>
      </c>
      <c r="F179" s="1"/>
      <c r="G179" s="1">
        <v>2.7759999999999998</v>
      </c>
      <c r="H179" s="1">
        <v>7.0000000000000001E-3</v>
      </c>
      <c r="I179" s="12">
        <f t="shared" si="47"/>
        <v>2.7829999999999999</v>
      </c>
      <c r="J179" s="12">
        <f>19919.079-5909.145-11901.535</f>
        <v>2108.3990000000013</v>
      </c>
      <c r="K179" s="12"/>
      <c r="L179" s="12">
        <f t="shared" si="48"/>
        <v>2108.3990000000013</v>
      </c>
      <c r="M179" s="12">
        <f t="shared" si="40"/>
        <v>757.59935321595447</v>
      </c>
      <c r="N179" s="12" t="e">
        <f t="shared" si="49"/>
        <v>#REF!</v>
      </c>
      <c r="O179" s="12" t="e">
        <f t="shared" si="50"/>
        <v>#REF!</v>
      </c>
      <c r="P179" s="12" t="e">
        <f t="shared" si="51"/>
        <v>#REF!</v>
      </c>
    </row>
    <row r="180" spans="1:16" ht="15.75" hidden="1" x14ac:dyDescent="0.25">
      <c r="A180" s="14" t="s">
        <v>1855</v>
      </c>
      <c r="B180" s="14">
        <v>35</v>
      </c>
      <c r="C180" s="8" t="s">
        <v>1129</v>
      </c>
      <c r="D180" s="28" t="s">
        <v>1918</v>
      </c>
      <c r="E180" s="12" t="s">
        <v>1214</v>
      </c>
      <c r="F180" s="1"/>
      <c r="G180" s="1">
        <v>4.8620000000000001</v>
      </c>
      <c r="H180" s="1">
        <v>0.02</v>
      </c>
      <c r="I180" s="12">
        <f t="shared" si="47"/>
        <v>4.8819999999999997</v>
      </c>
      <c r="J180" s="12">
        <f>16928.27693-10017.88512</f>
        <v>6910.3918099999992</v>
      </c>
      <c r="K180" s="12"/>
      <c r="L180" s="12">
        <f t="shared" si="48"/>
        <v>6910.3918099999992</v>
      </c>
      <c r="M180" s="12">
        <f t="shared" si="40"/>
        <v>1415.4837791888569</v>
      </c>
      <c r="N180" s="12" t="e">
        <f t="shared" si="49"/>
        <v>#REF!</v>
      </c>
      <c r="O180" s="12" t="e">
        <f t="shared" si="50"/>
        <v>#REF!</v>
      </c>
      <c r="P180" s="12" t="e">
        <f t="shared" si="51"/>
        <v>#REF!</v>
      </c>
    </row>
    <row r="181" spans="1:16" ht="15.75" hidden="1" x14ac:dyDescent="0.25">
      <c r="A181" s="15" t="s">
        <v>1855</v>
      </c>
      <c r="B181" s="15"/>
      <c r="C181" s="10" t="s">
        <v>1743</v>
      </c>
      <c r="D181" s="29"/>
      <c r="E181" s="37" t="s">
        <v>1747</v>
      </c>
      <c r="F181" s="6"/>
      <c r="G181" s="37">
        <f t="shared" ref="G181:L181" si="52">SUM(G182:G237)</f>
        <v>422.00699999999995</v>
      </c>
      <c r="H181" s="37">
        <f>SUM(H182:H237)</f>
        <v>7.1969999999999983</v>
      </c>
      <c r="I181" s="37">
        <f t="shared" si="52"/>
        <v>429.20399999999978</v>
      </c>
      <c r="J181" s="37">
        <f t="shared" si="52"/>
        <v>752530.96750999987</v>
      </c>
      <c r="K181" s="37">
        <f t="shared" si="52"/>
        <v>14115.42</v>
      </c>
      <c r="L181" s="37">
        <f t="shared" si="52"/>
        <v>766646.38750999991</v>
      </c>
      <c r="M181" s="37">
        <f t="shared" si="40"/>
        <v>1786.2051320817147</v>
      </c>
      <c r="N181" s="37" t="e">
        <f>M181/$M$1429</f>
        <v>#REF!</v>
      </c>
      <c r="O181" s="37" t="e">
        <f>SUM(O182:O237)</f>
        <v>#REF!</v>
      </c>
      <c r="P181" s="37" t="e">
        <f>SUM(P182:P237)</f>
        <v>#REF!</v>
      </c>
    </row>
    <row r="182" spans="1:16" ht="15.75" hidden="1" x14ac:dyDescent="0.25">
      <c r="A182" s="14" t="s">
        <v>1855</v>
      </c>
      <c r="B182" s="14">
        <v>36</v>
      </c>
      <c r="C182" s="8" t="s">
        <v>1744</v>
      </c>
      <c r="D182" s="28" t="s">
        <v>1919</v>
      </c>
      <c r="E182" s="12" t="s">
        <v>1920</v>
      </c>
      <c r="F182" s="1"/>
      <c r="G182" s="1">
        <v>23.713999999999999</v>
      </c>
      <c r="H182" s="1">
        <v>8.6999999999999994E-2</v>
      </c>
      <c r="I182" s="12">
        <f t="shared" ref="I182:I237" si="53">H182+G182</f>
        <v>23.800999999999998</v>
      </c>
      <c r="J182" s="12">
        <v>28493.877479999999</v>
      </c>
      <c r="K182" s="12"/>
      <c r="L182" s="12">
        <f t="shared" ref="L182:L234" si="54">J182+K182</f>
        <v>28493.877479999999</v>
      </c>
      <c r="M182" s="12">
        <f t="shared" si="40"/>
        <v>1197.17144153607</v>
      </c>
      <c r="N182" s="12" t="e">
        <f t="shared" ref="N182:N213" si="55">M182/$M$1433</f>
        <v>#REF!</v>
      </c>
      <c r="O182" s="12" t="e">
        <f t="shared" ref="O182:O213" si="56">ROUND(IF(N182&lt;110%,0,(M182-$M$1433*1.1)*0.8)*I182,1)</f>
        <v>#REF!</v>
      </c>
      <c r="P182" s="12" t="e">
        <f t="shared" ref="P182:P213" si="57">ROUND(IF(N182&gt;90%,0,(-M182+$M$1433*0.9)*0.8)*I182,1)</f>
        <v>#REF!</v>
      </c>
    </row>
    <row r="183" spans="1:16" ht="15.75" hidden="1" x14ac:dyDescent="0.25">
      <c r="A183" s="14" t="s">
        <v>1855</v>
      </c>
      <c r="B183" s="14">
        <v>37</v>
      </c>
      <c r="C183" s="8" t="s">
        <v>1744</v>
      </c>
      <c r="D183" s="28" t="s">
        <v>1921</v>
      </c>
      <c r="E183" s="12" t="s">
        <v>1922</v>
      </c>
      <c r="F183" s="1"/>
      <c r="G183" s="1">
        <v>6.8940000000000001</v>
      </c>
      <c r="H183" s="1">
        <v>0.109</v>
      </c>
      <c r="I183" s="12">
        <f t="shared" si="53"/>
        <v>7.0030000000000001</v>
      </c>
      <c r="J183" s="12">
        <v>53361.980810000001</v>
      </c>
      <c r="K183" s="12"/>
      <c r="L183" s="12">
        <f t="shared" si="54"/>
        <v>53361.980810000001</v>
      </c>
      <c r="M183" s="12">
        <f t="shared" si="40"/>
        <v>7619.8744552334711</v>
      </c>
      <c r="N183" s="12" t="e">
        <f t="shared" si="55"/>
        <v>#REF!</v>
      </c>
      <c r="O183" s="12" t="e">
        <f t="shared" si="56"/>
        <v>#REF!</v>
      </c>
      <c r="P183" s="12" t="e">
        <f t="shared" si="57"/>
        <v>#REF!</v>
      </c>
    </row>
    <row r="184" spans="1:16" ht="15.75" hidden="1" x14ac:dyDescent="0.25">
      <c r="A184" s="14" t="s">
        <v>1855</v>
      </c>
      <c r="B184" s="14">
        <v>38</v>
      </c>
      <c r="C184" s="8" t="s">
        <v>1744</v>
      </c>
      <c r="D184" s="28" t="s">
        <v>1923</v>
      </c>
      <c r="E184" s="12" t="s">
        <v>1924</v>
      </c>
      <c r="F184" s="1"/>
      <c r="G184" s="1">
        <v>7.5780000000000003</v>
      </c>
      <c r="H184" s="1">
        <v>0.15</v>
      </c>
      <c r="I184" s="12">
        <f t="shared" si="53"/>
        <v>7.7280000000000006</v>
      </c>
      <c r="J184" s="12">
        <v>66482.010999999999</v>
      </c>
      <c r="K184" s="12"/>
      <c r="L184" s="12">
        <f t="shared" si="54"/>
        <v>66482.010999999999</v>
      </c>
      <c r="M184" s="12">
        <f t="shared" si="40"/>
        <v>8602.7446946169766</v>
      </c>
      <c r="N184" s="12" t="e">
        <f t="shared" si="55"/>
        <v>#REF!</v>
      </c>
      <c r="O184" s="12" t="e">
        <f t="shared" si="56"/>
        <v>#REF!</v>
      </c>
      <c r="P184" s="12" t="e">
        <f t="shared" si="57"/>
        <v>#REF!</v>
      </c>
    </row>
    <row r="185" spans="1:16" ht="15.75" hidden="1" x14ac:dyDescent="0.25">
      <c r="A185" s="14" t="s">
        <v>1855</v>
      </c>
      <c r="B185" s="14">
        <v>39</v>
      </c>
      <c r="C185" s="8" t="s">
        <v>1744</v>
      </c>
      <c r="D185" s="28" t="s">
        <v>1925</v>
      </c>
      <c r="E185" s="12" t="s">
        <v>1030</v>
      </c>
      <c r="F185" s="1"/>
      <c r="G185" s="1">
        <v>4.29</v>
      </c>
      <c r="H185" s="1">
        <v>8.0000000000000002E-3</v>
      </c>
      <c r="I185" s="12">
        <f t="shared" si="53"/>
        <v>4.298</v>
      </c>
      <c r="J185" s="12">
        <v>4511.4291499999999</v>
      </c>
      <c r="K185" s="12"/>
      <c r="L185" s="12">
        <f t="shared" si="54"/>
        <v>4511.4291499999999</v>
      </c>
      <c r="M185" s="12">
        <f t="shared" si="40"/>
        <v>1049.657782689623</v>
      </c>
      <c r="N185" s="12" t="e">
        <f t="shared" si="55"/>
        <v>#REF!</v>
      </c>
      <c r="O185" s="12" t="e">
        <f t="shared" si="56"/>
        <v>#REF!</v>
      </c>
      <c r="P185" s="12" t="e">
        <f t="shared" si="57"/>
        <v>#REF!</v>
      </c>
    </row>
    <row r="186" spans="1:16" ht="15.75" hidden="1" x14ac:dyDescent="0.25">
      <c r="A186" s="14" t="s">
        <v>1855</v>
      </c>
      <c r="B186" s="14">
        <v>40</v>
      </c>
      <c r="C186" s="8" t="s">
        <v>1744</v>
      </c>
      <c r="D186" s="28" t="s">
        <v>1926</v>
      </c>
      <c r="E186" s="12" t="s">
        <v>1031</v>
      </c>
      <c r="F186" s="1"/>
      <c r="G186" s="1">
        <v>3.097</v>
      </c>
      <c r="H186" s="1">
        <v>7.0000000000000001E-3</v>
      </c>
      <c r="I186" s="12">
        <f t="shared" si="53"/>
        <v>3.1040000000000001</v>
      </c>
      <c r="J186" s="12">
        <v>2850.2496700000002</v>
      </c>
      <c r="K186" s="12"/>
      <c r="L186" s="12">
        <f t="shared" si="54"/>
        <v>2850.2496700000002</v>
      </c>
      <c r="M186" s="12">
        <f t="shared" si="40"/>
        <v>918.25053801546392</v>
      </c>
      <c r="N186" s="12" t="e">
        <f t="shared" si="55"/>
        <v>#REF!</v>
      </c>
      <c r="O186" s="12" t="e">
        <f t="shared" si="56"/>
        <v>#REF!</v>
      </c>
      <c r="P186" s="12" t="e">
        <f t="shared" si="57"/>
        <v>#REF!</v>
      </c>
    </row>
    <row r="187" spans="1:16" ht="15.75" hidden="1" x14ac:dyDescent="0.25">
      <c r="A187" s="14" t="s">
        <v>1855</v>
      </c>
      <c r="B187" s="14">
        <v>41</v>
      </c>
      <c r="C187" s="8" t="s">
        <v>1744</v>
      </c>
      <c r="D187" s="28" t="s">
        <v>1927</v>
      </c>
      <c r="E187" s="12" t="s">
        <v>1928</v>
      </c>
      <c r="F187" s="1"/>
      <c r="G187" s="1">
        <v>19.776</v>
      </c>
      <c r="H187" s="1">
        <v>0.11799999999999999</v>
      </c>
      <c r="I187" s="12">
        <f t="shared" si="53"/>
        <v>19.893999999999998</v>
      </c>
      <c r="J187" s="12">
        <v>30363.639030000002</v>
      </c>
      <c r="K187" s="12"/>
      <c r="L187" s="12">
        <f t="shared" si="54"/>
        <v>30363.639030000002</v>
      </c>
      <c r="M187" s="12">
        <f t="shared" si="40"/>
        <v>1526.2711888006436</v>
      </c>
      <c r="N187" s="12" t="e">
        <f t="shared" si="55"/>
        <v>#REF!</v>
      </c>
      <c r="O187" s="12" t="e">
        <f t="shared" si="56"/>
        <v>#REF!</v>
      </c>
      <c r="P187" s="12" t="e">
        <f t="shared" si="57"/>
        <v>#REF!</v>
      </c>
    </row>
    <row r="188" spans="1:16" ht="15.75" hidden="1" x14ac:dyDescent="0.25">
      <c r="A188" s="14" t="s">
        <v>1855</v>
      </c>
      <c r="B188" s="14">
        <v>42</v>
      </c>
      <c r="C188" s="8" t="s">
        <v>1744</v>
      </c>
      <c r="D188" s="28" t="s">
        <v>1929</v>
      </c>
      <c r="E188" s="12" t="s">
        <v>1032</v>
      </c>
      <c r="F188" s="1"/>
      <c r="G188" s="1">
        <v>6.6840000000000002</v>
      </c>
      <c r="H188" s="1">
        <v>0.02</v>
      </c>
      <c r="I188" s="12">
        <f t="shared" si="53"/>
        <v>6.7039999999999997</v>
      </c>
      <c r="J188" s="12">
        <v>3098.0420099999997</v>
      </c>
      <c r="K188" s="12"/>
      <c r="L188" s="12">
        <f t="shared" si="54"/>
        <v>3098.0420099999997</v>
      </c>
      <c r="M188" s="12">
        <f t="shared" si="40"/>
        <v>462.11843824582337</v>
      </c>
      <c r="N188" s="12" t="e">
        <f t="shared" si="55"/>
        <v>#REF!</v>
      </c>
      <c r="O188" s="12" t="e">
        <f t="shared" si="56"/>
        <v>#REF!</v>
      </c>
      <c r="P188" s="12" t="e">
        <f t="shared" si="57"/>
        <v>#REF!</v>
      </c>
    </row>
    <row r="189" spans="1:16" ht="15.75" hidden="1" x14ac:dyDescent="0.25">
      <c r="A189" s="14" t="s">
        <v>1855</v>
      </c>
      <c r="B189" s="14">
        <v>43</v>
      </c>
      <c r="C189" s="8" t="s">
        <v>1744</v>
      </c>
      <c r="D189" s="28" t="s">
        <v>1930</v>
      </c>
      <c r="E189" s="12" t="s">
        <v>1931</v>
      </c>
      <c r="F189" s="1"/>
      <c r="G189" s="1">
        <v>2.1850000000000001</v>
      </c>
      <c r="H189" s="1">
        <v>1.4999999999999999E-2</v>
      </c>
      <c r="I189" s="12">
        <f t="shared" si="53"/>
        <v>2.2000000000000002</v>
      </c>
      <c r="J189" s="12">
        <v>1913.60429</v>
      </c>
      <c r="K189" s="12"/>
      <c r="L189" s="12">
        <f t="shared" si="54"/>
        <v>1913.60429</v>
      </c>
      <c r="M189" s="12">
        <f t="shared" si="40"/>
        <v>869.82013181818172</v>
      </c>
      <c r="N189" s="12" t="e">
        <f t="shared" si="55"/>
        <v>#REF!</v>
      </c>
      <c r="O189" s="12" t="e">
        <f t="shared" si="56"/>
        <v>#REF!</v>
      </c>
      <c r="P189" s="12" t="e">
        <f t="shared" si="57"/>
        <v>#REF!</v>
      </c>
    </row>
    <row r="190" spans="1:16" ht="15.75" hidden="1" x14ac:dyDescent="0.25">
      <c r="A190" s="14" t="s">
        <v>1855</v>
      </c>
      <c r="B190" s="14">
        <v>44</v>
      </c>
      <c r="C190" s="8" t="s">
        <v>1744</v>
      </c>
      <c r="D190" s="28" t="s">
        <v>1932</v>
      </c>
      <c r="E190" s="12" t="s">
        <v>1938</v>
      </c>
      <c r="F190" s="1"/>
      <c r="G190" s="1">
        <v>3.6930000000000001</v>
      </c>
      <c r="H190" s="1">
        <v>0.02</v>
      </c>
      <c r="I190" s="12">
        <f t="shared" si="53"/>
        <v>3.7130000000000001</v>
      </c>
      <c r="J190" s="12">
        <v>6640.5985300000002</v>
      </c>
      <c r="K190" s="12"/>
      <c r="L190" s="12">
        <f t="shared" si="54"/>
        <v>6640.5985300000002</v>
      </c>
      <c r="M190" s="12">
        <f t="shared" si="40"/>
        <v>1788.4725370320496</v>
      </c>
      <c r="N190" s="12" t="e">
        <f t="shared" si="55"/>
        <v>#REF!</v>
      </c>
      <c r="O190" s="12" t="e">
        <f t="shared" si="56"/>
        <v>#REF!</v>
      </c>
      <c r="P190" s="12" t="e">
        <f t="shared" si="57"/>
        <v>#REF!</v>
      </c>
    </row>
    <row r="191" spans="1:16" ht="15.75" hidden="1" x14ac:dyDescent="0.25">
      <c r="A191" s="14" t="s">
        <v>1855</v>
      </c>
      <c r="B191" s="14">
        <v>45</v>
      </c>
      <c r="C191" s="8" t="s">
        <v>1744</v>
      </c>
      <c r="D191" s="28" t="s">
        <v>1934</v>
      </c>
      <c r="E191" s="12" t="s">
        <v>1933</v>
      </c>
      <c r="F191" s="1"/>
      <c r="G191" s="1">
        <v>5.0179999999999998</v>
      </c>
      <c r="H191" s="1">
        <v>2.1999999999999999E-2</v>
      </c>
      <c r="I191" s="12">
        <f t="shared" si="53"/>
        <v>5.04</v>
      </c>
      <c r="J191" s="12">
        <v>2172.319</v>
      </c>
      <c r="K191" s="12"/>
      <c r="L191" s="12">
        <f t="shared" si="54"/>
        <v>2172.319</v>
      </c>
      <c r="M191" s="12">
        <f t="shared" si="40"/>
        <v>431.0156746031746</v>
      </c>
      <c r="N191" s="12" t="e">
        <f t="shared" si="55"/>
        <v>#REF!</v>
      </c>
      <c r="O191" s="12" t="e">
        <f t="shared" si="56"/>
        <v>#REF!</v>
      </c>
      <c r="P191" s="12" t="e">
        <f t="shared" si="57"/>
        <v>#REF!</v>
      </c>
    </row>
    <row r="192" spans="1:16" ht="15.75" hidden="1" x14ac:dyDescent="0.25">
      <c r="A192" s="14" t="s">
        <v>1855</v>
      </c>
      <c r="B192" s="14">
        <v>46</v>
      </c>
      <c r="C192" s="8" t="s">
        <v>1744</v>
      </c>
      <c r="D192" s="28" t="s">
        <v>1935</v>
      </c>
      <c r="E192" s="12" t="s">
        <v>1033</v>
      </c>
      <c r="F192" s="1"/>
      <c r="G192" s="1">
        <v>11.153</v>
      </c>
      <c r="H192" s="1">
        <v>0.251</v>
      </c>
      <c r="I192" s="12">
        <f t="shared" si="53"/>
        <v>11.404</v>
      </c>
      <c r="J192" s="12">
        <v>17724.22061</v>
      </c>
      <c r="K192" s="12"/>
      <c r="L192" s="12">
        <f t="shared" si="54"/>
        <v>17724.22061</v>
      </c>
      <c r="M192" s="12">
        <f t="shared" si="40"/>
        <v>1554.2108567169414</v>
      </c>
      <c r="N192" s="12" t="e">
        <f t="shared" si="55"/>
        <v>#REF!</v>
      </c>
      <c r="O192" s="12" t="e">
        <f t="shared" si="56"/>
        <v>#REF!</v>
      </c>
      <c r="P192" s="12" t="e">
        <f t="shared" si="57"/>
        <v>#REF!</v>
      </c>
    </row>
    <row r="193" spans="1:16" ht="15.75" hidden="1" x14ac:dyDescent="0.25">
      <c r="A193" s="14" t="s">
        <v>1855</v>
      </c>
      <c r="B193" s="14">
        <v>47</v>
      </c>
      <c r="C193" s="8" t="s">
        <v>1744</v>
      </c>
      <c r="D193" s="28" t="s">
        <v>1937</v>
      </c>
      <c r="E193" s="12" t="s">
        <v>1936</v>
      </c>
      <c r="F193" s="1"/>
      <c r="G193" s="1">
        <v>4.2779999999999996</v>
      </c>
      <c r="H193" s="1">
        <v>8.9999999999999993E-3</v>
      </c>
      <c r="I193" s="12">
        <f t="shared" si="53"/>
        <v>4.2869999999999999</v>
      </c>
      <c r="J193" s="12">
        <v>2906.558</v>
      </c>
      <c r="K193" s="12"/>
      <c r="L193" s="12">
        <f t="shared" si="54"/>
        <v>2906.558</v>
      </c>
      <c r="M193" s="12">
        <f t="shared" si="40"/>
        <v>677.99346862607888</v>
      </c>
      <c r="N193" s="12" t="e">
        <f t="shared" si="55"/>
        <v>#REF!</v>
      </c>
      <c r="O193" s="12" t="e">
        <f t="shared" si="56"/>
        <v>#REF!</v>
      </c>
      <c r="P193" s="12" t="e">
        <f t="shared" si="57"/>
        <v>#REF!</v>
      </c>
    </row>
    <row r="194" spans="1:16" ht="15.75" hidden="1" x14ac:dyDescent="0.25">
      <c r="A194" s="14" t="s">
        <v>1855</v>
      </c>
      <c r="B194" s="14">
        <v>48</v>
      </c>
      <c r="C194" s="8" t="s">
        <v>1744</v>
      </c>
      <c r="D194" s="28" t="s">
        <v>1939</v>
      </c>
      <c r="E194" s="12" t="s">
        <v>1940</v>
      </c>
      <c r="F194" s="1"/>
      <c r="G194" s="1">
        <v>14.023999999999999</v>
      </c>
      <c r="H194" s="1">
        <v>0.105</v>
      </c>
      <c r="I194" s="12">
        <f t="shared" si="53"/>
        <v>14.129</v>
      </c>
      <c r="J194" s="12">
        <v>20245.62673</v>
      </c>
      <c r="K194" s="12"/>
      <c r="L194" s="12">
        <f t="shared" si="54"/>
        <v>20245.62673</v>
      </c>
      <c r="M194" s="12">
        <f t="shared" si="40"/>
        <v>1432.9129258970911</v>
      </c>
      <c r="N194" s="12" t="e">
        <f t="shared" si="55"/>
        <v>#REF!</v>
      </c>
      <c r="O194" s="12" t="e">
        <f t="shared" si="56"/>
        <v>#REF!</v>
      </c>
      <c r="P194" s="12" t="e">
        <f t="shared" si="57"/>
        <v>#REF!</v>
      </c>
    </row>
    <row r="195" spans="1:16" ht="15.75" hidden="1" x14ac:dyDescent="0.25">
      <c r="A195" s="14" t="s">
        <v>1855</v>
      </c>
      <c r="B195" s="14">
        <v>49</v>
      </c>
      <c r="C195" s="8" t="s">
        <v>1744</v>
      </c>
      <c r="D195" s="28" t="s">
        <v>1941</v>
      </c>
      <c r="E195" s="12" t="s">
        <v>1034</v>
      </c>
      <c r="F195" s="1"/>
      <c r="G195" s="1">
        <v>6.0579999999999998</v>
      </c>
      <c r="H195" s="1">
        <v>0.10199999999999999</v>
      </c>
      <c r="I195" s="12">
        <f t="shared" si="53"/>
        <v>6.16</v>
      </c>
      <c r="J195" s="12">
        <v>3273.4618599999999</v>
      </c>
      <c r="K195" s="12"/>
      <c r="L195" s="12">
        <f t="shared" si="54"/>
        <v>3273.4618599999999</v>
      </c>
      <c r="M195" s="12">
        <f t="shared" si="40"/>
        <v>531.40614610389605</v>
      </c>
      <c r="N195" s="12" t="e">
        <f t="shared" si="55"/>
        <v>#REF!</v>
      </c>
      <c r="O195" s="12" t="e">
        <f t="shared" si="56"/>
        <v>#REF!</v>
      </c>
      <c r="P195" s="12" t="e">
        <f t="shared" si="57"/>
        <v>#REF!</v>
      </c>
    </row>
    <row r="196" spans="1:16" ht="15.75" hidden="1" x14ac:dyDescent="0.25">
      <c r="A196" s="14" t="s">
        <v>1855</v>
      </c>
      <c r="B196" s="14">
        <v>50</v>
      </c>
      <c r="C196" s="8" t="s">
        <v>1744</v>
      </c>
      <c r="D196" s="28" t="s">
        <v>1942</v>
      </c>
      <c r="E196" s="12" t="s">
        <v>1035</v>
      </c>
      <c r="F196" s="1"/>
      <c r="G196" s="1">
        <v>14.502000000000001</v>
      </c>
      <c r="H196" s="1">
        <v>0.59199999999999997</v>
      </c>
      <c r="I196" s="12">
        <f t="shared" si="53"/>
        <v>15.094000000000001</v>
      </c>
      <c r="J196" s="12">
        <v>144259.94500000001</v>
      </c>
      <c r="K196" s="12">
        <f>23525.7*0.6</f>
        <v>14115.42</v>
      </c>
      <c r="L196" s="12">
        <f t="shared" si="54"/>
        <v>158375.36500000002</v>
      </c>
      <c r="M196" s="12">
        <f t="shared" si="40"/>
        <v>10492.604014840334</v>
      </c>
      <c r="N196" s="12" t="e">
        <f t="shared" si="55"/>
        <v>#REF!</v>
      </c>
      <c r="O196" s="12" t="e">
        <f t="shared" si="56"/>
        <v>#REF!</v>
      </c>
      <c r="P196" s="12" t="e">
        <f t="shared" si="57"/>
        <v>#REF!</v>
      </c>
    </row>
    <row r="197" spans="1:16" ht="15.75" hidden="1" x14ac:dyDescent="0.25">
      <c r="A197" s="20" t="s">
        <v>1855</v>
      </c>
      <c r="B197" s="20">
        <v>51</v>
      </c>
      <c r="C197" s="21" t="s">
        <v>1744</v>
      </c>
      <c r="D197" s="30" t="s">
        <v>89</v>
      </c>
      <c r="E197" s="12" t="s">
        <v>126</v>
      </c>
      <c r="F197" s="1"/>
      <c r="G197" s="1">
        <v>3.419</v>
      </c>
      <c r="H197" s="1">
        <v>7.0000000000000001E-3</v>
      </c>
      <c r="I197" s="12">
        <f t="shared" si="53"/>
        <v>3.4260000000000002</v>
      </c>
      <c r="J197" s="12">
        <v>2216.7510000000002</v>
      </c>
      <c r="K197" s="12"/>
      <c r="L197" s="12">
        <f t="shared" si="54"/>
        <v>2216.7510000000002</v>
      </c>
      <c r="M197" s="12">
        <f t="shared" si="40"/>
        <v>647.03765323993002</v>
      </c>
      <c r="N197" s="12" t="e">
        <f t="shared" si="55"/>
        <v>#REF!</v>
      </c>
      <c r="O197" s="12" t="e">
        <f t="shared" si="56"/>
        <v>#REF!</v>
      </c>
      <c r="P197" s="12" t="e">
        <f t="shared" si="57"/>
        <v>#REF!</v>
      </c>
    </row>
    <row r="198" spans="1:16" ht="15.75" hidden="1" x14ac:dyDescent="0.25">
      <c r="A198" s="20" t="s">
        <v>1855</v>
      </c>
      <c r="B198" s="20">
        <v>52</v>
      </c>
      <c r="C198" s="21" t="s">
        <v>1744</v>
      </c>
      <c r="D198" s="30" t="s">
        <v>193</v>
      </c>
      <c r="E198" s="12" t="s">
        <v>194</v>
      </c>
      <c r="F198" s="1"/>
      <c r="G198" s="1">
        <v>5.2910000000000004</v>
      </c>
      <c r="H198" s="1">
        <v>4.2999999999999997E-2</v>
      </c>
      <c r="I198" s="12">
        <f t="shared" si="53"/>
        <v>5.3340000000000005</v>
      </c>
      <c r="J198" s="12">
        <v>3150.1</v>
      </c>
      <c r="K198" s="12"/>
      <c r="L198" s="12">
        <f t="shared" si="54"/>
        <v>3150.1</v>
      </c>
      <c r="M198" s="12">
        <f t="shared" si="40"/>
        <v>590.56992875890501</v>
      </c>
      <c r="N198" s="12" t="e">
        <f t="shared" si="55"/>
        <v>#REF!</v>
      </c>
      <c r="O198" s="12" t="e">
        <f t="shared" si="56"/>
        <v>#REF!</v>
      </c>
      <c r="P198" s="12" t="e">
        <f t="shared" si="57"/>
        <v>#REF!</v>
      </c>
    </row>
    <row r="199" spans="1:16" ht="15.75" hidden="1" x14ac:dyDescent="0.25">
      <c r="A199" s="20" t="s">
        <v>1855</v>
      </c>
      <c r="B199" s="20">
        <v>53</v>
      </c>
      <c r="C199" s="21" t="s">
        <v>1744</v>
      </c>
      <c r="D199" s="30" t="s">
        <v>195</v>
      </c>
      <c r="E199" s="12" t="s">
        <v>196</v>
      </c>
      <c r="F199" s="1"/>
      <c r="G199" s="1">
        <v>5.8460000000000001</v>
      </c>
      <c r="H199" s="1">
        <v>0.02</v>
      </c>
      <c r="I199" s="12">
        <f t="shared" si="53"/>
        <v>5.8659999999999997</v>
      </c>
      <c r="J199" s="12">
        <v>5754.84</v>
      </c>
      <c r="K199" s="12"/>
      <c r="L199" s="12">
        <f t="shared" si="54"/>
        <v>5754.84</v>
      </c>
      <c r="M199" s="12">
        <f t="shared" si="40"/>
        <v>981.05011933174228</v>
      </c>
      <c r="N199" s="12" t="e">
        <f t="shared" si="55"/>
        <v>#REF!</v>
      </c>
      <c r="O199" s="12" t="e">
        <f t="shared" si="56"/>
        <v>#REF!</v>
      </c>
      <c r="P199" s="12" t="e">
        <f t="shared" si="57"/>
        <v>#REF!</v>
      </c>
    </row>
    <row r="200" spans="1:16" ht="15.75" hidden="1" x14ac:dyDescent="0.25">
      <c r="A200" s="20" t="s">
        <v>1855</v>
      </c>
      <c r="B200" s="20">
        <v>54</v>
      </c>
      <c r="C200" s="21" t="s">
        <v>1744</v>
      </c>
      <c r="D200" s="30" t="s">
        <v>197</v>
      </c>
      <c r="E200" s="12" t="s">
        <v>198</v>
      </c>
      <c r="F200" s="1"/>
      <c r="G200" s="1">
        <v>16.535</v>
      </c>
      <c r="H200" s="1">
        <v>0.501</v>
      </c>
      <c r="I200" s="12">
        <f t="shared" si="53"/>
        <v>17.036000000000001</v>
      </c>
      <c r="J200" s="12">
        <v>13268.651</v>
      </c>
      <c r="K200" s="12"/>
      <c r="L200" s="12">
        <f t="shared" si="54"/>
        <v>13268.651</v>
      </c>
      <c r="M200" s="12">
        <f t="shared" si="40"/>
        <v>778.85953275416762</v>
      </c>
      <c r="N200" s="12" t="e">
        <f t="shared" si="55"/>
        <v>#REF!</v>
      </c>
      <c r="O200" s="12" t="e">
        <f t="shared" si="56"/>
        <v>#REF!</v>
      </c>
      <c r="P200" s="12" t="e">
        <f t="shared" si="57"/>
        <v>#REF!</v>
      </c>
    </row>
    <row r="201" spans="1:16" ht="15.75" hidden="1" x14ac:dyDescent="0.25">
      <c r="A201" s="20" t="s">
        <v>1855</v>
      </c>
      <c r="B201" s="20">
        <v>55</v>
      </c>
      <c r="C201" s="21" t="s">
        <v>1744</v>
      </c>
      <c r="D201" s="30" t="s">
        <v>199</v>
      </c>
      <c r="E201" s="12" t="s">
        <v>200</v>
      </c>
      <c r="F201" s="1"/>
      <c r="G201" s="1">
        <v>3.8959999999999999</v>
      </c>
      <c r="H201" s="1">
        <v>2.1000000000000001E-2</v>
      </c>
      <c r="I201" s="12">
        <f t="shared" si="53"/>
        <v>3.9169999999999998</v>
      </c>
      <c r="J201" s="12">
        <v>2657.28</v>
      </c>
      <c r="K201" s="12"/>
      <c r="L201" s="12">
        <f t="shared" si="54"/>
        <v>2657.28</v>
      </c>
      <c r="M201" s="12">
        <f t="shared" si="40"/>
        <v>678.39673219300494</v>
      </c>
      <c r="N201" s="12" t="e">
        <f t="shared" si="55"/>
        <v>#REF!</v>
      </c>
      <c r="O201" s="12" t="e">
        <f t="shared" si="56"/>
        <v>#REF!</v>
      </c>
      <c r="P201" s="12" t="e">
        <f t="shared" si="57"/>
        <v>#REF!</v>
      </c>
    </row>
    <row r="202" spans="1:16" ht="15.75" hidden="1" x14ac:dyDescent="0.25">
      <c r="A202" s="20" t="s">
        <v>1855</v>
      </c>
      <c r="B202" s="20">
        <v>56</v>
      </c>
      <c r="C202" s="21" t="s">
        <v>1744</v>
      </c>
      <c r="D202" s="30" t="s">
        <v>201</v>
      </c>
      <c r="E202" s="12" t="s">
        <v>202</v>
      </c>
      <c r="F202" s="1"/>
      <c r="G202" s="1">
        <v>8.8369999999999997</v>
      </c>
      <c r="H202" s="1">
        <v>3.1E-2</v>
      </c>
      <c r="I202" s="12">
        <f t="shared" si="53"/>
        <v>8.8680000000000003</v>
      </c>
      <c r="J202" s="12">
        <v>12045.2</v>
      </c>
      <c r="K202" s="12"/>
      <c r="L202" s="12">
        <f t="shared" si="54"/>
        <v>12045.2</v>
      </c>
      <c r="M202" s="12">
        <f t="shared" si="40"/>
        <v>1358.2769508344611</v>
      </c>
      <c r="N202" s="12" t="e">
        <f t="shared" si="55"/>
        <v>#REF!</v>
      </c>
      <c r="O202" s="12" t="e">
        <f t="shared" si="56"/>
        <v>#REF!</v>
      </c>
      <c r="P202" s="12" t="e">
        <f t="shared" si="57"/>
        <v>#REF!</v>
      </c>
    </row>
    <row r="203" spans="1:16" ht="15.75" hidden="1" x14ac:dyDescent="0.25">
      <c r="A203" s="20" t="s">
        <v>1855</v>
      </c>
      <c r="B203" s="20">
        <v>57</v>
      </c>
      <c r="C203" s="21" t="s">
        <v>1744</v>
      </c>
      <c r="D203" s="30" t="s">
        <v>203</v>
      </c>
      <c r="E203" s="12" t="s">
        <v>204</v>
      </c>
      <c r="F203" s="1"/>
      <c r="G203" s="1">
        <v>3.5379999999999998</v>
      </c>
      <c r="H203" s="1">
        <v>2E-3</v>
      </c>
      <c r="I203" s="12">
        <f t="shared" si="53"/>
        <v>3.5399999999999996</v>
      </c>
      <c r="J203" s="12">
        <v>2398</v>
      </c>
      <c r="K203" s="12"/>
      <c r="L203" s="12">
        <f t="shared" si="54"/>
        <v>2398</v>
      </c>
      <c r="M203" s="12">
        <f t="shared" si="40"/>
        <v>677.40112994350295</v>
      </c>
      <c r="N203" s="12" t="e">
        <f t="shared" si="55"/>
        <v>#REF!</v>
      </c>
      <c r="O203" s="12" t="e">
        <f t="shared" si="56"/>
        <v>#REF!</v>
      </c>
      <c r="P203" s="12" t="e">
        <f t="shared" si="57"/>
        <v>#REF!</v>
      </c>
    </row>
    <row r="204" spans="1:16" ht="15.75" hidden="1" x14ac:dyDescent="0.25">
      <c r="A204" s="20" t="s">
        <v>1855</v>
      </c>
      <c r="B204" s="20">
        <v>58</v>
      </c>
      <c r="C204" s="21" t="s">
        <v>1744</v>
      </c>
      <c r="D204" s="30" t="s">
        <v>205</v>
      </c>
      <c r="E204" s="12" t="s">
        <v>206</v>
      </c>
      <c r="F204" s="1"/>
      <c r="G204" s="1">
        <v>17.13</v>
      </c>
      <c r="H204" s="1">
        <v>1.0409999999999999</v>
      </c>
      <c r="I204" s="12">
        <f t="shared" si="53"/>
        <v>18.170999999999999</v>
      </c>
      <c r="J204" s="12">
        <v>20482.794000000002</v>
      </c>
      <c r="K204" s="12"/>
      <c r="L204" s="12">
        <f t="shared" si="54"/>
        <v>20482.794000000002</v>
      </c>
      <c r="M204" s="12">
        <f t="shared" si="40"/>
        <v>1127.2243684992573</v>
      </c>
      <c r="N204" s="12" t="e">
        <f t="shared" si="55"/>
        <v>#REF!</v>
      </c>
      <c r="O204" s="12" t="e">
        <f t="shared" si="56"/>
        <v>#REF!</v>
      </c>
      <c r="P204" s="12" t="e">
        <f t="shared" si="57"/>
        <v>#REF!</v>
      </c>
    </row>
    <row r="205" spans="1:16" ht="15.75" hidden="1" x14ac:dyDescent="0.25">
      <c r="A205" s="20" t="s">
        <v>1855</v>
      </c>
      <c r="B205" s="20">
        <v>59</v>
      </c>
      <c r="C205" s="21" t="s">
        <v>1744</v>
      </c>
      <c r="D205" s="30" t="s">
        <v>207</v>
      </c>
      <c r="E205" s="12" t="s">
        <v>208</v>
      </c>
      <c r="F205" s="1"/>
      <c r="G205" s="1">
        <v>3.2530000000000001</v>
      </c>
      <c r="H205" s="1">
        <v>2.3E-2</v>
      </c>
      <c r="I205" s="12">
        <f t="shared" si="53"/>
        <v>3.2760000000000002</v>
      </c>
      <c r="J205" s="12">
        <v>3728.9189999999999</v>
      </c>
      <c r="K205" s="12"/>
      <c r="L205" s="12">
        <f t="shared" si="54"/>
        <v>3728.9189999999999</v>
      </c>
      <c r="M205" s="12">
        <f t="shared" si="40"/>
        <v>1138.253663003663</v>
      </c>
      <c r="N205" s="12" t="e">
        <f t="shared" si="55"/>
        <v>#REF!</v>
      </c>
      <c r="O205" s="12" t="e">
        <f t="shared" si="56"/>
        <v>#REF!</v>
      </c>
      <c r="P205" s="12" t="e">
        <f t="shared" si="57"/>
        <v>#REF!</v>
      </c>
    </row>
    <row r="206" spans="1:16" ht="15.75" hidden="1" x14ac:dyDescent="0.25">
      <c r="A206" s="20" t="s">
        <v>1855</v>
      </c>
      <c r="B206" s="20">
        <v>60</v>
      </c>
      <c r="C206" s="21" t="s">
        <v>1744</v>
      </c>
      <c r="D206" s="30" t="s">
        <v>209</v>
      </c>
      <c r="E206" s="12" t="s">
        <v>210</v>
      </c>
      <c r="F206" s="1"/>
      <c r="G206" s="1">
        <v>8.2460000000000004</v>
      </c>
      <c r="H206" s="1">
        <v>4.2999999999999997E-2</v>
      </c>
      <c r="I206" s="12">
        <f t="shared" si="53"/>
        <v>8.2889999999999997</v>
      </c>
      <c r="J206" s="12">
        <v>11267.12</v>
      </c>
      <c r="K206" s="12"/>
      <c r="L206" s="12">
        <f t="shared" si="54"/>
        <v>11267.12</v>
      </c>
      <c r="M206" s="12">
        <f t="shared" si="40"/>
        <v>1359.2858004584391</v>
      </c>
      <c r="N206" s="12" t="e">
        <f t="shared" si="55"/>
        <v>#REF!</v>
      </c>
      <c r="O206" s="12" t="e">
        <f t="shared" si="56"/>
        <v>#REF!</v>
      </c>
      <c r="P206" s="12" t="e">
        <f t="shared" si="57"/>
        <v>#REF!</v>
      </c>
    </row>
    <row r="207" spans="1:16" ht="15.75" hidden="1" x14ac:dyDescent="0.25">
      <c r="A207" s="20" t="s">
        <v>1855</v>
      </c>
      <c r="B207" s="20">
        <v>61</v>
      </c>
      <c r="C207" s="21" t="s">
        <v>1744</v>
      </c>
      <c r="D207" s="30" t="s">
        <v>211</v>
      </c>
      <c r="E207" s="12" t="s">
        <v>212</v>
      </c>
      <c r="F207" s="1"/>
      <c r="G207" s="1">
        <v>14.826000000000001</v>
      </c>
      <c r="H207" s="1">
        <v>0.04</v>
      </c>
      <c r="I207" s="12">
        <f t="shared" si="53"/>
        <v>14.866</v>
      </c>
      <c r="J207" s="12">
        <v>17088.879000000001</v>
      </c>
      <c r="K207" s="12"/>
      <c r="L207" s="12">
        <f t="shared" si="54"/>
        <v>17088.879000000001</v>
      </c>
      <c r="M207" s="12">
        <f t="shared" si="40"/>
        <v>1149.5277142472758</v>
      </c>
      <c r="N207" s="12" t="e">
        <f t="shared" si="55"/>
        <v>#REF!</v>
      </c>
      <c r="O207" s="12" t="e">
        <f t="shared" si="56"/>
        <v>#REF!</v>
      </c>
      <c r="P207" s="12" t="e">
        <f t="shared" si="57"/>
        <v>#REF!</v>
      </c>
    </row>
    <row r="208" spans="1:16" ht="15.75" hidden="1" x14ac:dyDescent="0.25">
      <c r="A208" s="20" t="s">
        <v>1855</v>
      </c>
      <c r="B208" s="20">
        <v>62</v>
      </c>
      <c r="C208" s="21" t="s">
        <v>1744</v>
      </c>
      <c r="D208" s="30" t="s">
        <v>213</v>
      </c>
      <c r="E208" s="12" t="s">
        <v>214</v>
      </c>
      <c r="F208" s="1"/>
      <c r="G208" s="1">
        <v>15.146000000000001</v>
      </c>
      <c r="H208" s="1">
        <v>7.3999999999999996E-2</v>
      </c>
      <c r="I208" s="12">
        <f t="shared" si="53"/>
        <v>15.22</v>
      </c>
      <c r="J208" s="12">
        <v>14772.164000000001</v>
      </c>
      <c r="K208" s="12"/>
      <c r="L208" s="12">
        <f t="shared" si="54"/>
        <v>14772.164000000001</v>
      </c>
      <c r="M208" s="12">
        <f t="shared" ref="M208:M234" si="58">L208/I208</f>
        <v>970.57582128777926</v>
      </c>
      <c r="N208" s="12" t="e">
        <f t="shared" si="55"/>
        <v>#REF!</v>
      </c>
      <c r="O208" s="12" t="e">
        <f t="shared" si="56"/>
        <v>#REF!</v>
      </c>
      <c r="P208" s="12" t="e">
        <f t="shared" si="57"/>
        <v>#REF!</v>
      </c>
    </row>
    <row r="209" spans="1:16" ht="15.75" hidden="1" x14ac:dyDescent="0.25">
      <c r="A209" s="20" t="s">
        <v>1855</v>
      </c>
      <c r="B209" s="20">
        <v>63</v>
      </c>
      <c r="C209" s="21" t="s">
        <v>1744</v>
      </c>
      <c r="D209" s="30" t="s">
        <v>215</v>
      </c>
      <c r="E209" s="12" t="s">
        <v>216</v>
      </c>
      <c r="F209" s="1"/>
      <c r="G209" s="1">
        <v>2.5059999999999998</v>
      </c>
      <c r="H209" s="1">
        <v>2.3E-2</v>
      </c>
      <c r="I209" s="12">
        <f t="shared" si="53"/>
        <v>2.5289999999999999</v>
      </c>
      <c r="J209" s="12">
        <v>3534.4388800000002</v>
      </c>
      <c r="K209" s="12"/>
      <c r="L209" s="12">
        <f t="shared" si="54"/>
        <v>3534.4388800000002</v>
      </c>
      <c r="M209" s="12">
        <f t="shared" si="58"/>
        <v>1397.5638117833137</v>
      </c>
      <c r="N209" s="12" t="e">
        <f t="shared" si="55"/>
        <v>#REF!</v>
      </c>
      <c r="O209" s="12" t="e">
        <f t="shared" si="56"/>
        <v>#REF!</v>
      </c>
      <c r="P209" s="12" t="e">
        <f t="shared" si="57"/>
        <v>#REF!</v>
      </c>
    </row>
    <row r="210" spans="1:16" ht="15.75" hidden="1" x14ac:dyDescent="0.25">
      <c r="A210" s="20" t="s">
        <v>1855</v>
      </c>
      <c r="B210" s="20">
        <v>64</v>
      </c>
      <c r="C210" s="21" t="s">
        <v>1744</v>
      </c>
      <c r="D210" s="30" t="s">
        <v>217</v>
      </c>
      <c r="E210" s="12" t="s">
        <v>218</v>
      </c>
      <c r="F210" s="1"/>
      <c r="G210" s="1">
        <v>4.0640000000000001</v>
      </c>
      <c r="H210" s="1">
        <v>0.32600000000000001</v>
      </c>
      <c r="I210" s="12">
        <f t="shared" si="53"/>
        <v>4.3899999999999997</v>
      </c>
      <c r="J210" s="12">
        <v>5825.8760000000002</v>
      </c>
      <c r="K210" s="12"/>
      <c r="L210" s="12">
        <f t="shared" si="54"/>
        <v>5825.8760000000002</v>
      </c>
      <c r="M210" s="12">
        <f t="shared" si="58"/>
        <v>1327.0788154897496</v>
      </c>
      <c r="N210" s="12" t="e">
        <f t="shared" si="55"/>
        <v>#REF!</v>
      </c>
      <c r="O210" s="12" t="e">
        <f t="shared" si="56"/>
        <v>#REF!</v>
      </c>
      <c r="P210" s="12" t="e">
        <f t="shared" si="57"/>
        <v>#REF!</v>
      </c>
    </row>
    <row r="211" spans="1:16" ht="15.75" hidden="1" x14ac:dyDescent="0.25">
      <c r="A211" s="20" t="s">
        <v>1855</v>
      </c>
      <c r="B211" s="20">
        <v>65</v>
      </c>
      <c r="C211" s="21" t="s">
        <v>1744</v>
      </c>
      <c r="D211" s="30" t="s">
        <v>219</v>
      </c>
      <c r="E211" s="12" t="s">
        <v>220</v>
      </c>
      <c r="F211" s="1"/>
      <c r="G211" s="1">
        <v>3.6030000000000002</v>
      </c>
      <c r="H211" s="1">
        <v>2.1000000000000001E-2</v>
      </c>
      <c r="I211" s="12">
        <f t="shared" si="53"/>
        <v>3.6240000000000001</v>
      </c>
      <c r="J211" s="12">
        <v>2330.6999999999998</v>
      </c>
      <c r="K211" s="12"/>
      <c r="L211" s="12">
        <f t="shared" si="54"/>
        <v>2330.6999999999998</v>
      </c>
      <c r="M211" s="12">
        <f t="shared" si="58"/>
        <v>643.12913907284758</v>
      </c>
      <c r="N211" s="12" t="e">
        <f t="shared" si="55"/>
        <v>#REF!</v>
      </c>
      <c r="O211" s="12" t="e">
        <f t="shared" si="56"/>
        <v>#REF!</v>
      </c>
      <c r="P211" s="12" t="e">
        <f t="shared" si="57"/>
        <v>#REF!</v>
      </c>
    </row>
    <row r="212" spans="1:16" ht="15.75" hidden="1" x14ac:dyDescent="0.25">
      <c r="A212" s="20" t="s">
        <v>1855</v>
      </c>
      <c r="B212" s="20">
        <v>66</v>
      </c>
      <c r="C212" s="21" t="s">
        <v>1744</v>
      </c>
      <c r="D212" s="30" t="s">
        <v>221</v>
      </c>
      <c r="E212" s="12" t="s">
        <v>222</v>
      </c>
      <c r="F212" s="1"/>
      <c r="G212" s="1">
        <v>4.3499999999999996</v>
      </c>
      <c r="H212" s="1">
        <v>0.22</v>
      </c>
      <c r="I212" s="12">
        <f t="shared" si="53"/>
        <v>4.5699999999999994</v>
      </c>
      <c r="J212" s="12">
        <v>3085.9870000000001</v>
      </c>
      <c r="K212" s="12"/>
      <c r="L212" s="12">
        <f t="shared" si="54"/>
        <v>3085.9870000000001</v>
      </c>
      <c r="M212" s="12">
        <f t="shared" si="58"/>
        <v>675.27067833698038</v>
      </c>
      <c r="N212" s="12" t="e">
        <f t="shared" si="55"/>
        <v>#REF!</v>
      </c>
      <c r="O212" s="12" t="e">
        <f t="shared" si="56"/>
        <v>#REF!</v>
      </c>
      <c r="P212" s="12" t="e">
        <f t="shared" si="57"/>
        <v>#REF!</v>
      </c>
    </row>
    <row r="213" spans="1:16" ht="15.75" hidden="1" x14ac:dyDescent="0.25">
      <c r="A213" s="20" t="s">
        <v>1855</v>
      </c>
      <c r="B213" s="20">
        <v>67</v>
      </c>
      <c r="C213" s="21" t="s">
        <v>1744</v>
      </c>
      <c r="D213" s="30" t="s">
        <v>223</v>
      </c>
      <c r="E213" s="12" t="s">
        <v>224</v>
      </c>
      <c r="F213" s="1"/>
      <c r="G213" s="1">
        <v>2.7410000000000001</v>
      </c>
      <c r="H213" s="1">
        <v>6.0000000000000001E-3</v>
      </c>
      <c r="I213" s="12">
        <f t="shared" si="53"/>
        <v>2.7469999999999999</v>
      </c>
      <c r="J213" s="12">
        <v>2368.9929999999999</v>
      </c>
      <c r="K213" s="12"/>
      <c r="L213" s="12">
        <f t="shared" si="54"/>
        <v>2368.9929999999999</v>
      </c>
      <c r="M213" s="12">
        <f t="shared" si="58"/>
        <v>862.39279213687655</v>
      </c>
      <c r="N213" s="12" t="e">
        <f t="shared" si="55"/>
        <v>#REF!</v>
      </c>
      <c r="O213" s="12" t="e">
        <f t="shared" si="56"/>
        <v>#REF!</v>
      </c>
      <c r="P213" s="12" t="e">
        <f t="shared" si="57"/>
        <v>#REF!</v>
      </c>
    </row>
    <row r="214" spans="1:16" ht="15.75" hidden="1" x14ac:dyDescent="0.25">
      <c r="A214" s="20" t="s">
        <v>1855</v>
      </c>
      <c r="B214" s="20">
        <v>68</v>
      </c>
      <c r="C214" s="21" t="s">
        <v>1744</v>
      </c>
      <c r="D214" s="30" t="s">
        <v>225</v>
      </c>
      <c r="E214" s="12" t="s">
        <v>226</v>
      </c>
      <c r="F214" s="1"/>
      <c r="G214" s="1">
        <v>4.2030000000000003</v>
      </c>
      <c r="H214" s="1">
        <v>0.39400000000000002</v>
      </c>
      <c r="I214" s="12">
        <f t="shared" si="53"/>
        <v>4.5970000000000004</v>
      </c>
      <c r="J214" s="12">
        <v>4099.8720000000003</v>
      </c>
      <c r="K214" s="12"/>
      <c r="L214" s="12">
        <f t="shared" si="54"/>
        <v>4099.8720000000003</v>
      </c>
      <c r="M214" s="12">
        <f t="shared" si="58"/>
        <v>891.85816837067648</v>
      </c>
      <c r="N214" s="12" t="e">
        <f t="shared" ref="N214:N237" si="59">M214/$M$1433</f>
        <v>#REF!</v>
      </c>
      <c r="O214" s="12" t="e">
        <f t="shared" ref="O214:O237" si="60">ROUND(IF(N214&lt;110%,0,(M214-$M$1433*1.1)*0.8)*I214,1)</f>
        <v>#REF!</v>
      </c>
      <c r="P214" s="12" t="e">
        <f t="shared" ref="P214:P237" si="61">ROUND(IF(N214&gt;90%,0,(-M214+$M$1433*0.9)*0.8)*I214,1)</f>
        <v>#REF!</v>
      </c>
    </row>
    <row r="215" spans="1:16" ht="15.75" hidden="1" x14ac:dyDescent="0.25">
      <c r="A215" s="20" t="s">
        <v>1855</v>
      </c>
      <c r="B215" s="20">
        <v>69</v>
      </c>
      <c r="C215" s="21" t="s">
        <v>1744</v>
      </c>
      <c r="D215" s="30" t="s">
        <v>227</v>
      </c>
      <c r="E215" s="12" t="s">
        <v>228</v>
      </c>
      <c r="F215" s="1"/>
      <c r="G215" s="1">
        <v>2.9470000000000001</v>
      </c>
      <c r="H215" s="1">
        <v>7.0000000000000001E-3</v>
      </c>
      <c r="I215" s="12">
        <f t="shared" si="53"/>
        <v>2.9540000000000002</v>
      </c>
      <c r="J215" s="12">
        <v>2373.1030000000001</v>
      </c>
      <c r="K215" s="12"/>
      <c r="L215" s="12">
        <f t="shared" si="54"/>
        <v>2373.1030000000001</v>
      </c>
      <c r="M215" s="12">
        <f t="shared" si="58"/>
        <v>803.35240352064989</v>
      </c>
      <c r="N215" s="12" t="e">
        <f t="shared" si="59"/>
        <v>#REF!</v>
      </c>
      <c r="O215" s="12" t="e">
        <f t="shared" si="60"/>
        <v>#REF!</v>
      </c>
      <c r="P215" s="12" t="e">
        <f t="shared" si="61"/>
        <v>#REF!</v>
      </c>
    </row>
    <row r="216" spans="1:16" ht="15.75" hidden="1" x14ac:dyDescent="0.25">
      <c r="A216" s="49" t="s">
        <v>1855</v>
      </c>
      <c r="B216" s="49">
        <v>70</v>
      </c>
      <c r="C216" s="50" t="s">
        <v>1744</v>
      </c>
      <c r="D216" s="51" t="s">
        <v>638</v>
      </c>
      <c r="E216" s="52" t="s">
        <v>639</v>
      </c>
      <c r="F216" s="53"/>
      <c r="G216" s="53">
        <v>3.6349999999999998</v>
      </c>
      <c r="H216" s="53">
        <v>8.7999999999999995E-2</v>
      </c>
      <c r="I216" s="12">
        <f t="shared" si="53"/>
        <v>3.7229999999999999</v>
      </c>
      <c r="J216" s="52">
        <v>4807.5810000000001</v>
      </c>
      <c r="K216" s="52"/>
      <c r="L216" s="52">
        <f t="shared" si="54"/>
        <v>4807.5810000000001</v>
      </c>
      <c r="M216" s="52">
        <f t="shared" si="58"/>
        <v>1291.3190975020145</v>
      </c>
      <c r="N216" s="12" t="e">
        <f t="shared" si="59"/>
        <v>#REF!</v>
      </c>
      <c r="O216" s="12" t="e">
        <f t="shared" si="60"/>
        <v>#REF!</v>
      </c>
      <c r="P216" s="12" t="e">
        <f t="shared" si="61"/>
        <v>#REF!</v>
      </c>
    </row>
    <row r="217" spans="1:16" ht="31.5" hidden="1" x14ac:dyDescent="0.25">
      <c r="A217" s="49" t="s">
        <v>1855</v>
      </c>
      <c r="B217" s="49">
        <v>71</v>
      </c>
      <c r="C217" s="50" t="s">
        <v>1744</v>
      </c>
      <c r="D217" s="51" t="s">
        <v>640</v>
      </c>
      <c r="E217" s="52" t="s">
        <v>641</v>
      </c>
      <c r="F217" s="53"/>
      <c r="G217" s="53">
        <v>17.547000000000001</v>
      </c>
      <c r="H217" s="53">
        <v>0.371</v>
      </c>
      <c r="I217" s="12">
        <f t="shared" si="53"/>
        <v>17.917999999999999</v>
      </c>
      <c r="J217" s="52">
        <v>23894.2</v>
      </c>
      <c r="K217" s="52"/>
      <c r="L217" s="52">
        <f t="shared" si="54"/>
        <v>23894.2</v>
      </c>
      <c r="M217" s="52">
        <f t="shared" si="58"/>
        <v>1333.5305279607101</v>
      </c>
      <c r="N217" s="12" t="e">
        <f t="shared" si="59"/>
        <v>#REF!</v>
      </c>
      <c r="O217" s="12" t="e">
        <f t="shared" si="60"/>
        <v>#REF!</v>
      </c>
      <c r="P217" s="12" t="e">
        <f t="shared" si="61"/>
        <v>#REF!</v>
      </c>
    </row>
    <row r="218" spans="1:16" ht="15.75" hidden="1" x14ac:dyDescent="0.25">
      <c r="A218" s="49" t="s">
        <v>1855</v>
      </c>
      <c r="B218" s="49">
        <v>72</v>
      </c>
      <c r="C218" s="50" t="s">
        <v>1744</v>
      </c>
      <c r="D218" s="51" t="s">
        <v>642</v>
      </c>
      <c r="E218" s="52" t="s">
        <v>643</v>
      </c>
      <c r="F218" s="53"/>
      <c r="G218" s="53">
        <v>15.904</v>
      </c>
      <c r="H218" s="53">
        <v>1.1399999999999999</v>
      </c>
      <c r="I218" s="12">
        <f t="shared" si="53"/>
        <v>17.044</v>
      </c>
      <c r="J218" s="52">
        <v>17734.507150000001</v>
      </c>
      <c r="K218" s="52"/>
      <c r="L218" s="52">
        <f t="shared" si="54"/>
        <v>17734.507150000001</v>
      </c>
      <c r="M218" s="52">
        <f t="shared" si="58"/>
        <v>1040.5132099272471</v>
      </c>
      <c r="N218" s="12" t="e">
        <f t="shared" si="59"/>
        <v>#REF!</v>
      </c>
      <c r="O218" s="12" t="e">
        <f t="shared" si="60"/>
        <v>#REF!</v>
      </c>
      <c r="P218" s="12" t="e">
        <f t="shared" si="61"/>
        <v>#REF!</v>
      </c>
    </row>
    <row r="219" spans="1:16" ht="15.75" hidden="1" x14ac:dyDescent="0.25">
      <c r="A219" s="49" t="s">
        <v>1855</v>
      </c>
      <c r="B219" s="49">
        <v>73</v>
      </c>
      <c r="C219" s="50" t="s">
        <v>1744</v>
      </c>
      <c r="D219" s="51" t="s">
        <v>644</v>
      </c>
      <c r="E219" s="52" t="s">
        <v>645</v>
      </c>
      <c r="F219" s="53"/>
      <c r="G219" s="53">
        <v>3.7509999999999999</v>
      </c>
      <c r="H219" s="53">
        <v>0</v>
      </c>
      <c r="I219" s="12">
        <f t="shared" si="53"/>
        <v>3.7509999999999999</v>
      </c>
      <c r="J219" s="52">
        <v>4486.8722200000002</v>
      </c>
      <c r="K219" s="52"/>
      <c r="L219" s="52">
        <f t="shared" si="54"/>
        <v>4486.8722200000002</v>
      </c>
      <c r="M219" s="52">
        <f t="shared" si="58"/>
        <v>1196.1802772593976</v>
      </c>
      <c r="N219" s="12" t="e">
        <f t="shared" si="59"/>
        <v>#REF!</v>
      </c>
      <c r="O219" s="12" t="e">
        <f t="shared" si="60"/>
        <v>#REF!</v>
      </c>
      <c r="P219" s="12" t="e">
        <f t="shared" si="61"/>
        <v>#REF!</v>
      </c>
    </row>
    <row r="220" spans="1:16" ht="15.75" hidden="1" x14ac:dyDescent="0.25">
      <c r="A220" s="49" t="s">
        <v>1855</v>
      </c>
      <c r="B220" s="49">
        <v>74</v>
      </c>
      <c r="C220" s="50" t="s">
        <v>1744</v>
      </c>
      <c r="D220" s="51" t="s">
        <v>646</v>
      </c>
      <c r="E220" s="52" t="s">
        <v>647</v>
      </c>
      <c r="F220" s="53"/>
      <c r="G220" s="53">
        <v>4.0380000000000003</v>
      </c>
      <c r="H220" s="53">
        <v>8.0000000000000002E-3</v>
      </c>
      <c r="I220" s="12">
        <f t="shared" si="53"/>
        <v>4.0460000000000003</v>
      </c>
      <c r="J220" s="52">
        <v>17968.37888</v>
      </c>
      <c r="K220" s="52"/>
      <c r="L220" s="52">
        <f t="shared" si="54"/>
        <v>17968.37888</v>
      </c>
      <c r="M220" s="52">
        <f t="shared" si="58"/>
        <v>4441.0229560059315</v>
      </c>
      <c r="N220" s="12" t="e">
        <f t="shared" si="59"/>
        <v>#REF!</v>
      </c>
      <c r="O220" s="12" t="e">
        <f t="shared" si="60"/>
        <v>#REF!</v>
      </c>
      <c r="P220" s="12" t="e">
        <f t="shared" si="61"/>
        <v>#REF!</v>
      </c>
    </row>
    <row r="221" spans="1:16" ht="15.75" hidden="1" x14ac:dyDescent="0.25">
      <c r="A221" s="49" t="s">
        <v>1855</v>
      </c>
      <c r="B221" s="49">
        <v>75</v>
      </c>
      <c r="C221" s="50" t="s">
        <v>1744</v>
      </c>
      <c r="D221" s="51" t="s">
        <v>648</v>
      </c>
      <c r="E221" s="52" t="s">
        <v>649</v>
      </c>
      <c r="F221" s="53"/>
      <c r="G221" s="53">
        <v>13.175000000000001</v>
      </c>
      <c r="H221" s="53">
        <v>3.4000000000000002E-2</v>
      </c>
      <c r="I221" s="12">
        <f t="shared" si="53"/>
        <v>13.209000000000001</v>
      </c>
      <c r="J221" s="52">
        <v>10545.911620000001</v>
      </c>
      <c r="K221" s="52"/>
      <c r="L221" s="52">
        <f t="shared" si="54"/>
        <v>10545.911620000001</v>
      </c>
      <c r="M221" s="52">
        <f t="shared" si="58"/>
        <v>798.38834279657806</v>
      </c>
      <c r="N221" s="12" t="e">
        <f t="shared" si="59"/>
        <v>#REF!</v>
      </c>
      <c r="O221" s="12" t="e">
        <f t="shared" si="60"/>
        <v>#REF!</v>
      </c>
      <c r="P221" s="12" t="e">
        <f t="shared" si="61"/>
        <v>#REF!</v>
      </c>
    </row>
    <row r="222" spans="1:16" ht="15.75" hidden="1" x14ac:dyDescent="0.25">
      <c r="A222" s="49" t="s">
        <v>1855</v>
      </c>
      <c r="B222" s="49">
        <v>76</v>
      </c>
      <c r="C222" s="50" t="s">
        <v>1744</v>
      </c>
      <c r="D222" s="51" t="s">
        <v>650</v>
      </c>
      <c r="E222" s="52" t="s">
        <v>651</v>
      </c>
      <c r="F222" s="53"/>
      <c r="G222" s="53">
        <v>7.1020000000000003</v>
      </c>
      <c r="H222" s="53">
        <v>0.108</v>
      </c>
      <c r="I222" s="12">
        <f t="shared" si="53"/>
        <v>7.21</v>
      </c>
      <c r="J222" s="52">
        <v>5707.2179999999998</v>
      </c>
      <c r="K222" s="52"/>
      <c r="L222" s="52">
        <f t="shared" si="54"/>
        <v>5707.2179999999998</v>
      </c>
      <c r="M222" s="52">
        <f t="shared" si="58"/>
        <v>791.56976421636614</v>
      </c>
      <c r="N222" s="12" t="e">
        <f t="shared" si="59"/>
        <v>#REF!</v>
      </c>
      <c r="O222" s="12" t="e">
        <f t="shared" si="60"/>
        <v>#REF!</v>
      </c>
      <c r="P222" s="12" t="e">
        <f t="shared" si="61"/>
        <v>#REF!</v>
      </c>
    </row>
    <row r="223" spans="1:16" ht="15.75" hidden="1" x14ac:dyDescent="0.25">
      <c r="A223" s="49" t="s">
        <v>1855</v>
      </c>
      <c r="B223" s="49">
        <v>77</v>
      </c>
      <c r="C223" s="50" t="s">
        <v>1744</v>
      </c>
      <c r="D223" s="51" t="s">
        <v>652</v>
      </c>
      <c r="E223" s="52" t="s">
        <v>653</v>
      </c>
      <c r="F223" s="53"/>
      <c r="G223" s="53">
        <v>2.7160000000000002</v>
      </c>
      <c r="H223" s="53">
        <v>5.6000000000000001E-2</v>
      </c>
      <c r="I223" s="12">
        <f t="shared" si="53"/>
        <v>2.7720000000000002</v>
      </c>
      <c r="J223" s="52">
        <v>31378.074000000001</v>
      </c>
      <c r="K223" s="52"/>
      <c r="L223" s="52">
        <f t="shared" si="54"/>
        <v>31378.074000000001</v>
      </c>
      <c r="M223" s="52">
        <f t="shared" si="58"/>
        <v>11319.651515151514</v>
      </c>
      <c r="N223" s="12" t="e">
        <f t="shared" si="59"/>
        <v>#REF!</v>
      </c>
      <c r="O223" s="12" t="e">
        <f t="shared" si="60"/>
        <v>#REF!</v>
      </c>
      <c r="P223" s="12" t="e">
        <f t="shared" si="61"/>
        <v>#REF!</v>
      </c>
    </row>
    <row r="224" spans="1:16" ht="15.75" hidden="1" x14ac:dyDescent="0.25">
      <c r="A224" s="49" t="s">
        <v>1855</v>
      </c>
      <c r="B224" s="49">
        <v>78</v>
      </c>
      <c r="C224" s="50" t="s">
        <v>1744</v>
      </c>
      <c r="D224" s="51" t="s">
        <v>654</v>
      </c>
      <c r="E224" s="52" t="s">
        <v>655</v>
      </c>
      <c r="F224" s="53"/>
      <c r="G224" s="53">
        <v>8.8109999999999999</v>
      </c>
      <c r="H224" s="53">
        <v>4.2999999999999997E-2</v>
      </c>
      <c r="I224" s="12">
        <f t="shared" si="53"/>
        <v>8.8539999999999992</v>
      </c>
      <c r="J224" s="52">
        <v>8948.7000000000007</v>
      </c>
      <c r="K224" s="52"/>
      <c r="L224" s="52">
        <f t="shared" si="54"/>
        <v>8948.7000000000007</v>
      </c>
      <c r="M224" s="52">
        <f t="shared" si="58"/>
        <v>1010.6957307431671</v>
      </c>
      <c r="N224" s="12" t="e">
        <f t="shared" si="59"/>
        <v>#REF!</v>
      </c>
      <c r="O224" s="12" t="e">
        <f t="shared" si="60"/>
        <v>#REF!</v>
      </c>
      <c r="P224" s="12" t="e">
        <f t="shared" si="61"/>
        <v>#REF!</v>
      </c>
    </row>
    <row r="225" spans="1:16" ht="15.75" hidden="1" x14ac:dyDescent="0.25">
      <c r="A225" s="49" t="s">
        <v>1855</v>
      </c>
      <c r="B225" s="49">
        <v>79</v>
      </c>
      <c r="C225" s="50" t="s">
        <v>1744</v>
      </c>
      <c r="D225" s="51" t="s">
        <v>656</v>
      </c>
      <c r="E225" s="52" t="s">
        <v>657</v>
      </c>
      <c r="F225" s="53"/>
      <c r="G225" s="53">
        <v>6.4560000000000004</v>
      </c>
      <c r="H225" s="53">
        <v>0.23</v>
      </c>
      <c r="I225" s="12">
        <f t="shared" si="53"/>
        <v>6.6860000000000008</v>
      </c>
      <c r="J225" s="52">
        <v>27458</v>
      </c>
      <c r="K225" s="52"/>
      <c r="L225" s="52">
        <f t="shared" si="54"/>
        <v>27458</v>
      </c>
      <c r="M225" s="52">
        <f t="shared" si="58"/>
        <v>4106.7903081064906</v>
      </c>
      <c r="N225" s="12" t="e">
        <f t="shared" si="59"/>
        <v>#REF!</v>
      </c>
      <c r="O225" s="12" t="e">
        <f t="shared" si="60"/>
        <v>#REF!</v>
      </c>
      <c r="P225" s="12" t="e">
        <f t="shared" si="61"/>
        <v>#REF!</v>
      </c>
    </row>
    <row r="226" spans="1:16" ht="15.75" hidden="1" x14ac:dyDescent="0.25">
      <c r="A226" s="49" t="s">
        <v>1855</v>
      </c>
      <c r="B226" s="49">
        <v>80</v>
      </c>
      <c r="C226" s="50" t="s">
        <v>1744</v>
      </c>
      <c r="D226" s="51" t="s">
        <v>658</v>
      </c>
      <c r="E226" s="52" t="s">
        <v>659</v>
      </c>
      <c r="F226" s="53"/>
      <c r="G226" s="53">
        <v>3.5960000000000001</v>
      </c>
      <c r="H226" s="53">
        <v>3.7999999999999999E-2</v>
      </c>
      <c r="I226" s="12">
        <f t="shared" si="53"/>
        <v>3.6339999999999999</v>
      </c>
      <c r="J226" s="52">
        <v>7785.3800099999999</v>
      </c>
      <c r="K226" s="52"/>
      <c r="L226" s="52">
        <f t="shared" si="54"/>
        <v>7785.3800099999999</v>
      </c>
      <c r="M226" s="52">
        <f t="shared" si="58"/>
        <v>2142.3720445789763</v>
      </c>
      <c r="N226" s="12" t="e">
        <f t="shared" si="59"/>
        <v>#REF!</v>
      </c>
      <c r="O226" s="12" t="e">
        <f t="shared" si="60"/>
        <v>#REF!</v>
      </c>
      <c r="P226" s="12" t="e">
        <f t="shared" si="61"/>
        <v>#REF!</v>
      </c>
    </row>
    <row r="227" spans="1:16" ht="15.75" hidden="1" x14ac:dyDescent="0.25">
      <c r="A227" s="49" t="s">
        <v>1855</v>
      </c>
      <c r="B227" s="49">
        <v>81</v>
      </c>
      <c r="C227" s="50" t="s">
        <v>1744</v>
      </c>
      <c r="D227" s="51" t="s">
        <v>660</v>
      </c>
      <c r="E227" s="52" t="s">
        <v>661</v>
      </c>
      <c r="F227" s="53"/>
      <c r="G227" s="53">
        <v>11.073</v>
      </c>
      <c r="H227" s="53">
        <v>0.114</v>
      </c>
      <c r="I227" s="12">
        <f t="shared" si="53"/>
        <v>11.187000000000001</v>
      </c>
      <c r="J227" s="52">
        <v>11098.01433</v>
      </c>
      <c r="K227" s="52"/>
      <c r="L227" s="52">
        <f t="shared" si="54"/>
        <v>11098.01433</v>
      </c>
      <c r="M227" s="52">
        <f t="shared" si="58"/>
        <v>992.0456181281844</v>
      </c>
      <c r="N227" s="12" t="e">
        <f t="shared" si="59"/>
        <v>#REF!</v>
      </c>
      <c r="O227" s="12" t="e">
        <f t="shared" si="60"/>
        <v>#REF!</v>
      </c>
      <c r="P227" s="12" t="e">
        <f t="shared" si="61"/>
        <v>#REF!</v>
      </c>
    </row>
    <row r="228" spans="1:16" ht="15.75" hidden="1" x14ac:dyDescent="0.25">
      <c r="A228" s="49" t="s">
        <v>1855</v>
      </c>
      <c r="B228" s="49">
        <v>82</v>
      </c>
      <c r="C228" s="50" t="s">
        <v>1744</v>
      </c>
      <c r="D228" s="51" t="s">
        <v>662</v>
      </c>
      <c r="E228" s="52" t="s">
        <v>663</v>
      </c>
      <c r="F228" s="53"/>
      <c r="G228" s="53">
        <v>12.455</v>
      </c>
      <c r="H228" s="53">
        <v>0.13300000000000001</v>
      </c>
      <c r="I228" s="12">
        <f t="shared" si="53"/>
        <v>12.588000000000001</v>
      </c>
      <c r="J228" s="52">
        <v>7183.4394499999999</v>
      </c>
      <c r="K228" s="52"/>
      <c r="L228" s="52">
        <f t="shared" si="54"/>
        <v>7183.4394499999999</v>
      </c>
      <c r="M228" s="52">
        <f t="shared" si="58"/>
        <v>570.65772561169365</v>
      </c>
      <c r="N228" s="12" t="e">
        <f t="shared" si="59"/>
        <v>#REF!</v>
      </c>
      <c r="O228" s="12" t="e">
        <f t="shared" si="60"/>
        <v>#REF!</v>
      </c>
      <c r="P228" s="12" t="e">
        <f t="shared" si="61"/>
        <v>#REF!</v>
      </c>
    </row>
    <row r="229" spans="1:16" ht="15.75" hidden="1" x14ac:dyDescent="0.25">
      <c r="A229" s="49" t="s">
        <v>1855</v>
      </c>
      <c r="B229" s="49">
        <v>83</v>
      </c>
      <c r="C229" s="50" t="s">
        <v>1744</v>
      </c>
      <c r="D229" s="51" t="s">
        <v>664</v>
      </c>
      <c r="E229" s="52" t="s">
        <v>665</v>
      </c>
      <c r="F229" s="53"/>
      <c r="G229" s="53">
        <v>5.3319999999999999</v>
      </c>
      <c r="H229" s="53">
        <v>6.8000000000000005E-2</v>
      </c>
      <c r="I229" s="12">
        <f t="shared" si="53"/>
        <v>5.3999999999999995</v>
      </c>
      <c r="J229" s="52">
        <v>6562.5393999999997</v>
      </c>
      <c r="K229" s="52"/>
      <c r="L229" s="52">
        <f t="shared" si="54"/>
        <v>6562.5393999999997</v>
      </c>
      <c r="M229" s="52">
        <f t="shared" si="58"/>
        <v>1215.2850740740741</v>
      </c>
      <c r="N229" s="12" t="e">
        <f t="shared" si="59"/>
        <v>#REF!</v>
      </c>
      <c r="O229" s="12" t="e">
        <f t="shared" si="60"/>
        <v>#REF!</v>
      </c>
      <c r="P229" s="12" t="e">
        <f t="shared" si="61"/>
        <v>#REF!</v>
      </c>
    </row>
    <row r="230" spans="1:16" ht="15.75" hidden="1" x14ac:dyDescent="0.25">
      <c r="A230" s="49" t="s">
        <v>1855</v>
      </c>
      <c r="B230" s="49">
        <v>84</v>
      </c>
      <c r="C230" s="50" t="s">
        <v>1744</v>
      </c>
      <c r="D230" s="51" t="s">
        <v>666</v>
      </c>
      <c r="E230" s="52" t="s">
        <v>667</v>
      </c>
      <c r="F230" s="53"/>
      <c r="G230" s="53">
        <v>3.3969999999999998</v>
      </c>
      <c r="H230" s="53">
        <v>1.7000000000000001E-2</v>
      </c>
      <c r="I230" s="12">
        <f t="shared" si="53"/>
        <v>3.4139999999999997</v>
      </c>
      <c r="J230" s="52">
        <v>2672.0815600000001</v>
      </c>
      <c r="K230" s="52"/>
      <c r="L230" s="52">
        <f t="shared" si="54"/>
        <v>2672.0815600000001</v>
      </c>
      <c r="M230" s="52">
        <f t="shared" si="58"/>
        <v>782.68352665495024</v>
      </c>
      <c r="N230" s="12" t="e">
        <f t="shared" si="59"/>
        <v>#REF!</v>
      </c>
      <c r="O230" s="12" t="e">
        <f t="shared" si="60"/>
        <v>#REF!</v>
      </c>
      <c r="P230" s="12" t="e">
        <f t="shared" si="61"/>
        <v>#REF!</v>
      </c>
    </row>
    <row r="231" spans="1:16" ht="15.75" hidden="1" x14ac:dyDescent="0.25">
      <c r="A231" s="49" t="s">
        <v>1855</v>
      </c>
      <c r="B231" s="49">
        <v>85</v>
      </c>
      <c r="C231" s="50" t="s">
        <v>1744</v>
      </c>
      <c r="D231" s="51" t="s">
        <v>668</v>
      </c>
      <c r="E231" s="52" t="s">
        <v>669</v>
      </c>
      <c r="F231" s="53"/>
      <c r="G231" s="53">
        <v>4.4349999999999996</v>
      </c>
      <c r="H231" s="53">
        <v>8.0000000000000002E-3</v>
      </c>
      <c r="I231" s="12">
        <f t="shared" si="53"/>
        <v>4.4429999999999996</v>
      </c>
      <c r="J231" s="52">
        <v>5909.1450000000004</v>
      </c>
      <c r="K231" s="52"/>
      <c r="L231" s="52">
        <f t="shared" si="54"/>
        <v>5909.1450000000004</v>
      </c>
      <c r="M231" s="52">
        <f t="shared" si="58"/>
        <v>1329.9898717083054</v>
      </c>
      <c r="N231" s="12" t="e">
        <f t="shared" si="59"/>
        <v>#REF!</v>
      </c>
      <c r="O231" s="12" t="e">
        <f t="shared" si="60"/>
        <v>#REF!</v>
      </c>
      <c r="P231" s="12" t="e">
        <f t="shared" si="61"/>
        <v>#REF!</v>
      </c>
    </row>
    <row r="232" spans="1:16" ht="15.75" hidden="1" x14ac:dyDescent="0.25">
      <c r="A232" s="49" t="s">
        <v>1855</v>
      </c>
      <c r="B232" s="49">
        <v>86</v>
      </c>
      <c r="C232" s="50" t="s">
        <v>1744</v>
      </c>
      <c r="D232" s="51" t="s">
        <v>670</v>
      </c>
      <c r="E232" s="52" t="s">
        <v>671</v>
      </c>
      <c r="F232" s="53"/>
      <c r="G232" s="53">
        <v>13.521000000000001</v>
      </c>
      <c r="H232" s="53">
        <v>2.3E-2</v>
      </c>
      <c r="I232" s="12">
        <f t="shared" si="53"/>
        <v>13.544</v>
      </c>
      <c r="J232" s="52">
        <v>11901.535</v>
      </c>
      <c r="K232" s="52"/>
      <c r="L232" s="52">
        <f t="shared" si="54"/>
        <v>11901.535</v>
      </c>
      <c r="M232" s="52">
        <f t="shared" si="58"/>
        <v>878.73117247489654</v>
      </c>
      <c r="N232" s="12" t="e">
        <f t="shared" si="59"/>
        <v>#REF!</v>
      </c>
      <c r="O232" s="12" t="e">
        <f t="shared" si="60"/>
        <v>#REF!</v>
      </c>
      <c r="P232" s="12" t="e">
        <f t="shared" si="61"/>
        <v>#REF!</v>
      </c>
    </row>
    <row r="233" spans="1:16" ht="15.75" hidden="1" x14ac:dyDescent="0.25">
      <c r="A233" s="49" t="s">
        <v>1855</v>
      </c>
      <c r="B233" s="49">
        <v>87</v>
      </c>
      <c r="C233" s="50" t="s">
        <v>1744</v>
      </c>
      <c r="D233" s="51" t="s">
        <v>672</v>
      </c>
      <c r="E233" s="52" t="s">
        <v>673</v>
      </c>
      <c r="F233" s="53"/>
      <c r="G233" s="53">
        <v>5.782</v>
      </c>
      <c r="H233" s="53">
        <v>6.2E-2</v>
      </c>
      <c r="I233" s="12">
        <f t="shared" si="53"/>
        <v>5.8440000000000003</v>
      </c>
      <c r="J233" s="52">
        <v>10017.885120000001</v>
      </c>
      <c r="K233" s="52"/>
      <c r="L233" s="52">
        <f t="shared" si="54"/>
        <v>10017.885120000001</v>
      </c>
      <c r="M233" s="52">
        <f t="shared" si="58"/>
        <v>1714.2171663244353</v>
      </c>
      <c r="N233" s="12" t="e">
        <f t="shared" si="59"/>
        <v>#REF!</v>
      </c>
      <c r="O233" s="12" t="e">
        <f t="shared" si="60"/>
        <v>#REF!</v>
      </c>
      <c r="P233" s="12" t="e">
        <f t="shared" si="61"/>
        <v>#REF!</v>
      </c>
    </row>
    <row r="234" spans="1:16" ht="31.5" hidden="1" x14ac:dyDescent="0.25">
      <c r="A234" s="49" t="s">
        <v>1855</v>
      </c>
      <c r="B234" s="49">
        <v>88</v>
      </c>
      <c r="C234" s="50" t="s">
        <v>1744</v>
      </c>
      <c r="D234" s="51" t="s">
        <v>674</v>
      </c>
      <c r="E234" s="52" t="s">
        <v>675</v>
      </c>
      <c r="F234" s="53"/>
      <c r="G234" s="53">
        <v>3.7890000000000001</v>
      </c>
      <c r="H234" s="53">
        <v>2.5999999999999999E-2</v>
      </c>
      <c r="I234" s="12">
        <f t="shared" si="53"/>
        <v>3.8149999999999999</v>
      </c>
      <c r="J234" s="52">
        <f>3489.304+498.42001</f>
        <v>3987.7240099999999</v>
      </c>
      <c r="K234" s="52"/>
      <c r="L234" s="52">
        <f t="shared" si="54"/>
        <v>3987.7240099999999</v>
      </c>
      <c r="M234" s="52">
        <f t="shared" si="58"/>
        <v>1045.2749698558323</v>
      </c>
      <c r="N234" s="12" t="e">
        <f t="shared" si="59"/>
        <v>#REF!</v>
      </c>
      <c r="O234" s="12" t="e">
        <f t="shared" si="60"/>
        <v>#REF!</v>
      </c>
      <c r="P234" s="12" t="e">
        <f t="shared" si="61"/>
        <v>#REF!</v>
      </c>
    </row>
    <row r="235" spans="1:16" ht="18.75" hidden="1" x14ac:dyDescent="0.3">
      <c r="A235" s="49" t="s">
        <v>1855</v>
      </c>
      <c r="B235" s="49">
        <v>89</v>
      </c>
      <c r="C235" s="37" t="s">
        <v>1744</v>
      </c>
      <c r="D235" s="61" t="s">
        <v>1049</v>
      </c>
      <c r="E235" s="63" t="s">
        <v>1050</v>
      </c>
      <c r="F235" s="53"/>
      <c r="G235" s="53">
        <v>2.702</v>
      </c>
      <c r="H235" s="53">
        <v>0.13700000000000001</v>
      </c>
      <c r="I235" s="12">
        <f t="shared" si="53"/>
        <v>2.839</v>
      </c>
      <c r="J235" s="52">
        <v>1552</v>
      </c>
      <c r="K235" s="52"/>
      <c r="L235" s="52">
        <f>J235+K235</f>
        <v>1552</v>
      </c>
      <c r="M235" s="52">
        <f>L235/I235</f>
        <v>546.67136315604091</v>
      </c>
      <c r="N235" s="12" t="e">
        <f t="shared" si="59"/>
        <v>#REF!</v>
      </c>
      <c r="O235" s="12" t="e">
        <f t="shared" si="60"/>
        <v>#REF!</v>
      </c>
      <c r="P235" s="12" t="e">
        <f t="shared" si="61"/>
        <v>#REF!</v>
      </c>
    </row>
    <row r="236" spans="1:16" ht="18.75" hidden="1" x14ac:dyDescent="0.3">
      <c r="A236" s="49" t="s">
        <v>1855</v>
      </c>
      <c r="B236" s="49">
        <v>90</v>
      </c>
      <c r="C236" s="12" t="s">
        <v>1744</v>
      </c>
      <c r="D236" s="61" t="s">
        <v>1051</v>
      </c>
      <c r="E236" s="63" t="s">
        <v>1052</v>
      </c>
      <c r="F236" s="53"/>
      <c r="G236" s="53">
        <v>5.7539999999999996</v>
      </c>
      <c r="H236" s="53">
        <v>2.3E-2</v>
      </c>
      <c r="I236" s="12">
        <f t="shared" si="53"/>
        <v>5.7769999999999992</v>
      </c>
      <c r="J236" s="52">
        <v>5430.1497099999997</v>
      </c>
      <c r="K236" s="52"/>
      <c r="L236" s="52">
        <f>J236+K236</f>
        <v>5430.1497099999997</v>
      </c>
      <c r="M236" s="52">
        <f>L236/I236</f>
        <v>939.96013674917788</v>
      </c>
      <c r="N236" s="12" t="e">
        <f t="shared" si="59"/>
        <v>#REF!</v>
      </c>
      <c r="O236" s="12" t="e">
        <f t="shared" si="60"/>
        <v>#REF!</v>
      </c>
      <c r="P236" s="12" t="e">
        <f t="shared" si="61"/>
        <v>#REF!</v>
      </c>
    </row>
    <row r="237" spans="1:16" ht="18.75" hidden="1" x14ac:dyDescent="0.3">
      <c r="A237" s="49" t="s">
        <v>1855</v>
      </c>
      <c r="B237" s="49">
        <v>91</v>
      </c>
      <c r="C237" s="12" t="s">
        <v>1744</v>
      </c>
      <c r="D237" s="61" t="s">
        <v>1053</v>
      </c>
      <c r="E237" s="63" t="s">
        <v>1054</v>
      </c>
      <c r="F237" s="53"/>
      <c r="G237" s="53">
        <v>3.7149999999999999</v>
      </c>
      <c r="H237" s="53">
        <v>1.2E-2</v>
      </c>
      <c r="I237" s="12">
        <f t="shared" si="53"/>
        <v>3.7269999999999999</v>
      </c>
      <c r="J237" s="52">
        <v>4754.3999999999996</v>
      </c>
      <c r="K237" s="52"/>
      <c r="L237" s="52">
        <f>J237+K237</f>
        <v>4754.3999999999996</v>
      </c>
      <c r="M237" s="52">
        <f>L237/I237</f>
        <v>1275.6640729809499</v>
      </c>
      <c r="N237" s="12" t="e">
        <f t="shared" si="59"/>
        <v>#REF!</v>
      </c>
      <c r="O237" s="12" t="e">
        <f t="shared" si="60"/>
        <v>#REF!</v>
      </c>
      <c r="P237" s="12" t="e">
        <f t="shared" si="61"/>
        <v>#REF!</v>
      </c>
    </row>
    <row r="238" spans="1:16" s="75" customFormat="1" ht="15.75" hidden="1" x14ac:dyDescent="0.25">
      <c r="A238" s="72" t="s">
        <v>1818</v>
      </c>
      <c r="B238" s="72" t="s">
        <v>1126</v>
      </c>
      <c r="C238" s="73" t="s">
        <v>1161</v>
      </c>
      <c r="D238" s="74"/>
      <c r="E238" s="71" t="s">
        <v>1249</v>
      </c>
      <c r="F238" s="76"/>
      <c r="G238" s="71">
        <f t="shared" ref="G238:L238" si="62">G240+G269+G287+G239</f>
        <v>1955.5070000000003</v>
      </c>
      <c r="H238" s="71">
        <f t="shared" si="62"/>
        <v>519.16600000000005</v>
      </c>
      <c r="I238" s="71">
        <f t="shared" si="62"/>
        <v>2474.6730000000007</v>
      </c>
      <c r="J238" s="71">
        <f t="shared" si="62"/>
        <v>3581967.0415599993</v>
      </c>
      <c r="K238" s="71">
        <f t="shared" si="62"/>
        <v>-353.55599999999998</v>
      </c>
      <c r="L238" s="71">
        <f t="shared" si="62"/>
        <v>3581613.4855599995</v>
      </c>
      <c r="M238" s="71">
        <f>L238/I238</f>
        <v>1447.3077798804118</v>
      </c>
      <c r="N238" s="71" t="e">
        <f>M238/$M$1429</f>
        <v>#REF!</v>
      </c>
      <c r="O238" s="71" t="e">
        <f>O240+O269+O287+O239</f>
        <v>#REF!</v>
      </c>
      <c r="P238" s="71" t="e">
        <f>P240+P269+P287+P239</f>
        <v>#REF!</v>
      </c>
    </row>
    <row r="239" spans="1:16" ht="15.75" hidden="1" x14ac:dyDescent="0.25">
      <c r="A239" s="14" t="s">
        <v>1818</v>
      </c>
      <c r="B239" s="14" t="s">
        <v>1126</v>
      </c>
      <c r="C239" s="8" t="s">
        <v>1159</v>
      </c>
      <c r="D239" s="28" t="s">
        <v>1943</v>
      </c>
      <c r="E239" s="12" t="s">
        <v>1160</v>
      </c>
      <c r="F239" s="1"/>
      <c r="G239" s="1">
        <v>0</v>
      </c>
      <c r="H239" s="1">
        <v>0</v>
      </c>
      <c r="I239" s="12">
        <f>H239+G239</f>
        <v>0</v>
      </c>
      <c r="J239" s="12"/>
      <c r="K239" s="12"/>
      <c r="L239" s="12"/>
      <c r="M239" s="12"/>
      <c r="N239" s="12"/>
      <c r="O239" s="12"/>
      <c r="P239" s="12"/>
    </row>
    <row r="240" spans="1:16" ht="15.75" hidden="1" x14ac:dyDescent="0.25">
      <c r="A240" s="15" t="s">
        <v>1818</v>
      </c>
      <c r="B240" s="15" t="s">
        <v>1126</v>
      </c>
      <c r="C240" s="10" t="s">
        <v>1127</v>
      </c>
      <c r="D240" s="29"/>
      <c r="E240" s="37" t="s">
        <v>1128</v>
      </c>
      <c r="F240" s="6"/>
      <c r="G240" s="37">
        <f t="shared" ref="G240:L240" si="63">SUM(G241:G268)</f>
        <v>1370.0210000000002</v>
      </c>
      <c r="H240" s="37">
        <f>SUM(H241:H268)</f>
        <v>336.428</v>
      </c>
      <c r="I240" s="37">
        <f t="shared" si="63"/>
        <v>1706.4490000000003</v>
      </c>
      <c r="J240" s="37">
        <f t="shared" si="63"/>
        <v>2835847.9119999995</v>
      </c>
      <c r="K240" s="37">
        <f t="shared" si="63"/>
        <v>-353.55599999999998</v>
      </c>
      <c r="L240" s="37">
        <f t="shared" si="63"/>
        <v>2835494.3559999997</v>
      </c>
      <c r="M240" s="37">
        <f>L240/I240</f>
        <v>1661.634397512026</v>
      </c>
      <c r="N240" s="37" t="e">
        <f>M240/$M$1429</f>
        <v>#REF!</v>
      </c>
      <c r="O240" s="37" t="e">
        <f>SUM(O241:O268)</f>
        <v>#REF!</v>
      </c>
      <c r="P240" s="37" t="e">
        <f>SUM(P241:P268)</f>
        <v>#REF!</v>
      </c>
    </row>
    <row r="241" spans="1:16" ht="15.75" hidden="1" x14ac:dyDescent="0.25">
      <c r="A241" s="14" t="s">
        <v>1818</v>
      </c>
      <c r="B241" s="14" t="s">
        <v>1811</v>
      </c>
      <c r="C241" s="8" t="s">
        <v>1119</v>
      </c>
      <c r="D241" s="28" t="s">
        <v>1944</v>
      </c>
      <c r="E241" s="12" t="s">
        <v>1216</v>
      </c>
      <c r="F241" s="1">
        <v>1</v>
      </c>
      <c r="G241" s="1">
        <v>0</v>
      </c>
      <c r="H241" s="1">
        <v>0</v>
      </c>
      <c r="I241" s="12">
        <f t="shared" ref="I241:I268" si="64">H241+G241</f>
        <v>0</v>
      </c>
      <c r="J241" s="12">
        <v>0</v>
      </c>
      <c r="K241" s="12"/>
      <c r="L241" s="12"/>
      <c r="M241" s="12"/>
      <c r="N241" s="12" t="e">
        <f t="shared" ref="N241:N256" si="65">M241/$M$1431</f>
        <v>#REF!</v>
      </c>
      <c r="O241" s="12" t="e">
        <f t="shared" ref="O241:O256" si="66">ROUND(IF(N241&lt;110%,0,(M241-$M$1431*1.1)*0.8)*I241,1)</f>
        <v>#REF!</v>
      </c>
      <c r="P241" s="12" t="e">
        <f t="shared" ref="P241:P256" si="67">ROUND(IF(N241&gt;90%,0,(-M241+$M$1431*0.9)*0.8)*I241,1)</f>
        <v>#REF!</v>
      </c>
    </row>
    <row r="242" spans="1:16" ht="15.75" hidden="1" x14ac:dyDescent="0.25">
      <c r="A242" s="14" t="s">
        <v>1818</v>
      </c>
      <c r="B242" s="14" t="s">
        <v>1810</v>
      </c>
      <c r="C242" s="8" t="s">
        <v>1119</v>
      </c>
      <c r="D242" s="28" t="s">
        <v>1945</v>
      </c>
      <c r="E242" s="12" t="s">
        <v>1217</v>
      </c>
      <c r="F242" s="1"/>
      <c r="G242" s="1">
        <v>33.920999999999999</v>
      </c>
      <c r="H242" s="1">
        <v>3.2839999999999998</v>
      </c>
      <c r="I242" s="12">
        <f t="shared" si="64"/>
        <v>37.204999999999998</v>
      </c>
      <c r="J242" s="12">
        <v>51666.898000000001</v>
      </c>
      <c r="K242" s="12">
        <f>-589.26*0.6</f>
        <v>-353.55599999999998</v>
      </c>
      <c r="L242" s="12">
        <f t="shared" ref="L242:L256" si="68">J242+K242</f>
        <v>51313.342000000004</v>
      </c>
      <c r="M242" s="12">
        <f>L242/I242</f>
        <v>1379.2055368902031</v>
      </c>
      <c r="N242" s="12" t="e">
        <f t="shared" si="65"/>
        <v>#REF!</v>
      </c>
      <c r="O242" s="12" t="e">
        <f t="shared" si="66"/>
        <v>#REF!</v>
      </c>
      <c r="P242" s="12" t="e">
        <f t="shared" si="67"/>
        <v>#REF!</v>
      </c>
    </row>
    <row r="243" spans="1:16" ht="15.75" hidden="1" x14ac:dyDescent="0.25">
      <c r="A243" s="14" t="s">
        <v>1818</v>
      </c>
      <c r="B243" s="14" t="s">
        <v>1850</v>
      </c>
      <c r="C243" s="8" t="s">
        <v>1119</v>
      </c>
      <c r="D243" s="28" t="s">
        <v>1946</v>
      </c>
      <c r="E243" s="12" t="s">
        <v>676</v>
      </c>
      <c r="F243" s="1"/>
      <c r="G243" s="1">
        <v>76.433000000000007</v>
      </c>
      <c r="H243" s="1">
        <v>42.390999999999998</v>
      </c>
      <c r="I243" s="12">
        <f t="shared" si="64"/>
        <v>118.82400000000001</v>
      </c>
      <c r="J243" s="12">
        <v>143631.83300000001</v>
      </c>
      <c r="K243" s="12"/>
      <c r="L243" s="12">
        <f t="shared" si="68"/>
        <v>143631.83300000001</v>
      </c>
      <c r="M243" s="12">
        <f>L243/I243</f>
        <v>1208.7779657308288</v>
      </c>
      <c r="N243" s="12" t="e">
        <f t="shared" si="65"/>
        <v>#REF!</v>
      </c>
      <c r="O243" s="12" t="e">
        <f t="shared" si="66"/>
        <v>#REF!</v>
      </c>
      <c r="P243" s="12" t="e">
        <f t="shared" si="67"/>
        <v>#REF!</v>
      </c>
    </row>
    <row r="244" spans="1:16" ht="15.75" hidden="1" x14ac:dyDescent="0.25">
      <c r="A244" s="14" t="s">
        <v>1818</v>
      </c>
      <c r="B244" s="14" t="s">
        <v>1855</v>
      </c>
      <c r="C244" s="8" t="s">
        <v>1119</v>
      </c>
      <c r="D244" s="28" t="s">
        <v>1947</v>
      </c>
      <c r="E244" s="12" t="s">
        <v>1218</v>
      </c>
      <c r="F244" s="1"/>
      <c r="G244" s="1">
        <v>15.188000000000001</v>
      </c>
      <c r="H244" s="1">
        <v>8.3420000000000005</v>
      </c>
      <c r="I244" s="12">
        <f t="shared" si="64"/>
        <v>23.53</v>
      </c>
      <c r="J244" s="12">
        <v>62951.357000000004</v>
      </c>
      <c r="K244" s="12"/>
      <c r="L244" s="12">
        <f t="shared" si="68"/>
        <v>62951.357000000004</v>
      </c>
      <c r="M244" s="12">
        <f>L244/I244</f>
        <v>2675.365788355291</v>
      </c>
      <c r="N244" s="12" t="e">
        <f t="shared" si="65"/>
        <v>#REF!</v>
      </c>
      <c r="O244" s="12" t="e">
        <f t="shared" si="66"/>
        <v>#REF!</v>
      </c>
      <c r="P244" s="12" t="e">
        <f t="shared" si="67"/>
        <v>#REF!</v>
      </c>
    </row>
    <row r="245" spans="1:16" ht="15.75" hidden="1" x14ac:dyDescent="0.25">
      <c r="A245" s="14" t="s">
        <v>1818</v>
      </c>
      <c r="B245" s="14" t="s">
        <v>1818</v>
      </c>
      <c r="C245" s="8" t="s">
        <v>1119</v>
      </c>
      <c r="D245" s="28" t="s">
        <v>1948</v>
      </c>
      <c r="E245" s="12" t="s">
        <v>1219</v>
      </c>
      <c r="F245" s="1">
        <v>1</v>
      </c>
      <c r="G245" s="1">
        <v>0</v>
      </c>
      <c r="H245" s="1">
        <v>0</v>
      </c>
      <c r="I245" s="12">
        <f t="shared" si="64"/>
        <v>0</v>
      </c>
      <c r="J245" s="12">
        <v>0</v>
      </c>
      <c r="K245" s="12"/>
      <c r="L245" s="12"/>
      <c r="M245" s="12"/>
      <c r="N245" s="12" t="e">
        <f t="shared" si="65"/>
        <v>#REF!</v>
      </c>
      <c r="O245" s="12" t="e">
        <f t="shared" si="66"/>
        <v>#REF!</v>
      </c>
      <c r="P245" s="12" t="e">
        <f t="shared" si="67"/>
        <v>#REF!</v>
      </c>
    </row>
    <row r="246" spans="1:16" ht="15.75" hidden="1" x14ac:dyDescent="0.25">
      <c r="A246" s="14" t="s">
        <v>1818</v>
      </c>
      <c r="B246" s="14" t="s">
        <v>1820</v>
      </c>
      <c r="C246" s="8" t="s">
        <v>1119</v>
      </c>
      <c r="D246" s="28" t="s">
        <v>1949</v>
      </c>
      <c r="E246" s="12" t="s">
        <v>1220</v>
      </c>
      <c r="F246" s="1">
        <v>1</v>
      </c>
      <c r="G246" s="1">
        <v>0</v>
      </c>
      <c r="H246" s="1">
        <v>0</v>
      </c>
      <c r="I246" s="12">
        <f t="shared" si="64"/>
        <v>0</v>
      </c>
      <c r="J246" s="12">
        <v>0</v>
      </c>
      <c r="K246" s="12"/>
      <c r="L246" s="12"/>
      <c r="M246" s="12"/>
      <c r="N246" s="12" t="e">
        <f t="shared" si="65"/>
        <v>#REF!</v>
      </c>
      <c r="O246" s="12" t="e">
        <f t="shared" si="66"/>
        <v>#REF!</v>
      </c>
      <c r="P246" s="12" t="e">
        <f t="shared" si="67"/>
        <v>#REF!</v>
      </c>
    </row>
    <row r="247" spans="1:16" ht="15.75" hidden="1" x14ac:dyDescent="0.25">
      <c r="A247" s="14" t="s">
        <v>1818</v>
      </c>
      <c r="B247" s="14" t="s">
        <v>1822</v>
      </c>
      <c r="C247" s="8" t="s">
        <v>1119</v>
      </c>
      <c r="D247" s="28" t="s">
        <v>1950</v>
      </c>
      <c r="E247" s="12" t="s">
        <v>677</v>
      </c>
      <c r="F247" s="1"/>
      <c r="G247" s="1">
        <v>70.447000000000003</v>
      </c>
      <c r="H247" s="1">
        <v>7.16</v>
      </c>
      <c r="I247" s="12">
        <f t="shared" si="64"/>
        <v>77.606999999999999</v>
      </c>
      <c r="J247" s="12">
        <v>63906.538</v>
      </c>
      <c r="K247" s="12"/>
      <c r="L247" s="12">
        <f t="shared" si="68"/>
        <v>63906.538</v>
      </c>
      <c r="M247" s="12">
        <f>L247/I247</f>
        <v>823.46357931629882</v>
      </c>
      <c r="N247" s="12" t="e">
        <f t="shared" si="65"/>
        <v>#REF!</v>
      </c>
      <c r="O247" s="12" t="e">
        <f t="shared" si="66"/>
        <v>#REF!</v>
      </c>
      <c r="P247" s="12" t="e">
        <f t="shared" si="67"/>
        <v>#REF!</v>
      </c>
    </row>
    <row r="248" spans="1:16" ht="15.75" hidden="1" x14ac:dyDescent="0.25">
      <c r="A248" s="14" t="s">
        <v>1818</v>
      </c>
      <c r="B248" s="14" t="s">
        <v>1824</v>
      </c>
      <c r="C248" s="8" t="s">
        <v>1119</v>
      </c>
      <c r="D248" s="28" t="s">
        <v>1951</v>
      </c>
      <c r="E248" s="12" t="s">
        <v>678</v>
      </c>
      <c r="F248" s="1"/>
      <c r="G248" s="1">
        <v>49.845999999999997</v>
      </c>
      <c r="H248" s="1">
        <v>15.707000000000001</v>
      </c>
      <c r="I248" s="12">
        <f t="shared" si="64"/>
        <v>65.552999999999997</v>
      </c>
      <c r="J248" s="12">
        <v>90197.02</v>
      </c>
      <c r="K248" s="12"/>
      <c r="L248" s="12">
        <f t="shared" si="68"/>
        <v>90197.02</v>
      </c>
      <c r="M248" s="12">
        <f>L248/I248</f>
        <v>1375.9403841166691</v>
      </c>
      <c r="N248" s="12" t="e">
        <f t="shared" si="65"/>
        <v>#REF!</v>
      </c>
      <c r="O248" s="12" t="e">
        <f t="shared" si="66"/>
        <v>#REF!</v>
      </c>
      <c r="P248" s="12" t="e">
        <f t="shared" si="67"/>
        <v>#REF!</v>
      </c>
    </row>
    <row r="249" spans="1:16" ht="15.75" hidden="1" x14ac:dyDescent="0.25">
      <c r="A249" s="14" t="s">
        <v>1818</v>
      </c>
      <c r="B249" s="14" t="s">
        <v>1826</v>
      </c>
      <c r="C249" s="8" t="s">
        <v>1119</v>
      </c>
      <c r="D249" s="28" t="s">
        <v>1952</v>
      </c>
      <c r="E249" s="12" t="s">
        <v>1221</v>
      </c>
      <c r="F249" s="1"/>
      <c r="G249" s="1">
        <v>61.575000000000003</v>
      </c>
      <c r="H249" s="1">
        <v>8.7330000000000005</v>
      </c>
      <c r="I249" s="12">
        <f t="shared" si="64"/>
        <v>70.308000000000007</v>
      </c>
      <c r="J249" s="12">
        <v>179282.52499999999</v>
      </c>
      <c r="K249" s="12"/>
      <c r="L249" s="12">
        <f t="shared" si="68"/>
        <v>179282.52499999999</v>
      </c>
      <c r="M249" s="12">
        <f>L249/I249</f>
        <v>2549.9591084940544</v>
      </c>
      <c r="N249" s="12" t="e">
        <f t="shared" si="65"/>
        <v>#REF!</v>
      </c>
      <c r="O249" s="12" t="e">
        <f t="shared" si="66"/>
        <v>#REF!</v>
      </c>
      <c r="P249" s="12" t="e">
        <f t="shared" si="67"/>
        <v>#REF!</v>
      </c>
    </row>
    <row r="250" spans="1:16" ht="15.75" hidden="1" x14ac:dyDescent="0.25">
      <c r="A250" s="14" t="s">
        <v>1818</v>
      </c>
      <c r="B250" s="14">
        <v>10</v>
      </c>
      <c r="C250" s="8" t="s">
        <v>1119</v>
      </c>
      <c r="D250" s="28" t="s">
        <v>1953</v>
      </c>
      <c r="E250" s="12" t="s">
        <v>1222</v>
      </c>
      <c r="F250" s="1">
        <v>1</v>
      </c>
      <c r="G250" s="1">
        <v>0</v>
      </c>
      <c r="H250" s="1">
        <v>0</v>
      </c>
      <c r="I250" s="12">
        <f t="shared" si="64"/>
        <v>0</v>
      </c>
      <c r="J250" s="12">
        <v>0</v>
      </c>
      <c r="K250" s="12"/>
      <c r="L250" s="12"/>
      <c r="M250" s="12"/>
      <c r="N250" s="12" t="e">
        <f t="shared" si="65"/>
        <v>#REF!</v>
      </c>
      <c r="O250" s="12" t="e">
        <f t="shared" si="66"/>
        <v>#REF!</v>
      </c>
      <c r="P250" s="12" t="e">
        <f t="shared" si="67"/>
        <v>#REF!</v>
      </c>
    </row>
    <row r="251" spans="1:16" ht="15.75" hidden="1" x14ac:dyDescent="0.25">
      <c r="A251" s="14" t="s">
        <v>1818</v>
      </c>
      <c r="B251" s="14">
        <v>11</v>
      </c>
      <c r="C251" s="8" t="s">
        <v>1119</v>
      </c>
      <c r="D251" s="28" t="s">
        <v>1954</v>
      </c>
      <c r="E251" s="12" t="s">
        <v>1223</v>
      </c>
      <c r="F251" s="1"/>
      <c r="G251" s="1">
        <v>67.986999999999995</v>
      </c>
      <c r="H251" s="1">
        <v>9.5850000000000009</v>
      </c>
      <c r="I251" s="12">
        <f t="shared" si="64"/>
        <v>77.572000000000003</v>
      </c>
      <c r="J251" s="12">
        <v>104905.481</v>
      </c>
      <c r="K251" s="12"/>
      <c r="L251" s="12">
        <f t="shared" si="68"/>
        <v>104905.481</v>
      </c>
      <c r="M251" s="12">
        <f>L251/I251</f>
        <v>1352.3627210849274</v>
      </c>
      <c r="N251" s="12" t="e">
        <f t="shared" si="65"/>
        <v>#REF!</v>
      </c>
      <c r="O251" s="12" t="e">
        <f t="shared" si="66"/>
        <v>#REF!</v>
      </c>
      <c r="P251" s="12" t="e">
        <f t="shared" si="67"/>
        <v>#REF!</v>
      </c>
    </row>
    <row r="252" spans="1:16" ht="15.75" hidden="1" x14ac:dyDescent="0.25">
      <c r="A252" s="14" t="s">
        <v>1818</v>
      </c>
      <c r="B252" s="14">
        <v>12</v>
      </c>
      <c r="C252" s="8" t="s">
        <v>1119</v>
      </c>
      <c r="D252" s="28" t="s">
        <v>1955</v>
      </c>
      <c r="E252" s="12" t="s">
        <v>1224</v>
      </c>
      <c r="F252" s="1">
        <v>1</v>
      </c>
      <c r="G252" s="1">
        <v>0</v>
      </c>
      <c r="H252" s="1">
        <v>0</v>
      </c>
      <c r="I252" s="12">
        <f t="shared" si="64"/>
        <v>0</v>
      </c>
      <c r="J252" s="12">
        <v>0</v>
      </c>
      <c r="K252" s="12"/>
      <c r="L252" s="12"/>
      <c r="M252" s="12"/>
      <c r="N252" s="12" t="e">
        <f t="shared" si="65"/>
        <v>#REF!</v>
      </c>
      <c r="O252" s="12" t="e">
        <f t="shared" si="66"/>
        <v>#REF!</v>
      </c>
      <c r="P252" s="12" t="e">
        <f t="shared" si="67"/>
        <v>#REF!</v>
      </c>
    </row>
    <row r="253" spans="1:16" ht="15.75" hidden="1" x14ac:dyDescent="0.25">
      <c r="A253" s="14" t="s">
        <v>1818</v>
      </c>
      <c r="B253" s="14">
        <v>13</v>
      </c>
      <c r="C253" s="8" t="s">
        <v>1119</v>
      </c>
      <c r="D253" s="28" t="s">
        <v>1956</v>
      </c>
      <c r="E253" s="12" t="s">
        <v>1225</v>
      </c>
      <c r="F253" s="1">
        <v>1</v>
      </c>
      <c r="G253" s="1">
        <v>0</v>
      </c>
      <c r="H253" s="1">
        <v>0</v>
      </c>
      <c r="I253" s="12">
        <f t="shared" si="64"/>
        <v>0</v>
      </c>
      <c r="J253" s="12">
        <v>0</v>
      </c>
      <c r="K253" s="12"/>
      <c r="L253" s="12"/>
      <c r="M253" s="12"/>
      <c r="N253" s="12" t="e">
        <f t="shared" si="65"/>
        <v>#REF!</v>
      </c>
      <c r="O253" s="12" t="e">
        <f t="shared" si="66"/>
        <v>#REF!</v>
      </c>
      <c r="P253" s="12" t="e">
        <f t="shared" si="67"/>
        <v>#REF!</v>
      </c>
    </row>
    <row r="254" spans="1:16" ht="15.75" hidden="1" x14ac:dyDescent="0.25">
      <c r="A254" s="14" t="s">
        <v>1818</v>
      </c>
      <c r="B254" s="14">
        <v>14</v>
      </c>
      <c r="C254" s="8" t="s">
        <v>1119</v>
      </c>
      <c r="D254" s="28" t="s">
        <v>1957</v>
      </c>
      <c r="E254" s="12" t="s">
        <v>679</v>
      </c>
      <c r="F254" s="1">
        <v>1</v>
      </c>
      <c r="G254" s="1">
        <v>0</v>
      </c>
      <c r="H254" s="1">
        <v>0</v>
      </c>
      <c r="I254" s="12">
        <f t="shared" si="64"/>
        <v>0</v>
      </c>
      <c r="J254" s="12">
        <v>0</v>
      </c>
      <c r="K254" s="12"/>
      <c r="L254" s="12"/>
      <c r="M254" s="12"/>
      <c r="N254" s="12" t="e">
        <f t="shared" si="65"/>
        <v>#REF!</v>
      </c>
      <c r="O254" s="12" t="e">
        <f t="shared" si="66"/>
        <v>#REF!</v>
      </c>
      <c r="P254" s="12" t="e">
        <f t="shared" si="67"/>
        <v>#REF!</v>
      </c>
    </row>
    <row r="255" spans="1:16" ht="15.75" hidden="1" x14ac:dyDescent="0.25">
      <c r="A255" s="14" t="s">
        <v>1818</v>
      </c>
      <c r="B255" s="14">
        <v>15</v>
      </c>
      <c r="C255" s="8" t="s">
        <v>1119</v>
      </c>
      <c r="D255" s="28" t="s">
        <v>1958</v>
      </c>
      <c r="E255" s="12" t="s">
        <v>1226</v>
      </c>
      <c r="F255" s="1"/>
      <c r="G255" s="1">
        <v>72.888000000000005</v>
      </c>
      <c r="H255" s="1">
        <v>24.213999999999999</v>
      </c>
      <c r="I255" s="12">
        <f t="shared" si="64"/>
        <v>97.102000000000004</v>
      </c>
      <c r="J255" s="12">
        <v>75741.990000000005</v>
      </c>
      <c r="K255" s="12"/>
      <c r="L255" s="12">
        <f t="shared" si="68"/>
        <v>75741.990000000005</v>
      </c>
      <c r="M255" s="12">
        <f>L255/I255</f>
        <v>780.02502523120017</v>
      </c>
      <c r="N255" s="12" t="e">
        <f t="shared" si="65"/>
        <v>#REF!</v>
      </c>
      <c r="O255" s="12" t="e">
        <f t="shared" si="66"/>
        <v>#REF!</v>
      </c>
      <c r="P255" s="12" t="e">
        <f t="shared" si="67"/>
        <v>#REF!</v>
      </c>
    </row>
    <row r="256" spans="1:16" ht="15.75" hidden="1" x14ac:dyDescent="0.25">
      <c r="A256" s="14" t="s">
        <v>1818</v>
      </c>
      <c r="B256" s="14">
        <v>16</v>
      </c>
      <c r="C256" s="8" t="s">
        <v>1119</v>
      </c>
      <c r="D256" s="28" t="s">
        <v>1959</v>
      </c>
      <c r="E256" s="12" t="s">
        <v>1227</v>
      </c>
      <c r="F256" s="1"/>
      <c r="G256" s="1">
        <v>190.648</v>
      </c>
      <c r="H256" s="1">
        <v>50.646999999999998</v>
      </c>
      <c r="I256" s="12">
        <f t="shared" si="64"/>
        <v>241.29499999999999</v>
      </c>
      <c r="J256" s="12">
        <v>390169.36700000003</v>
      </c>
      <c r="K256" s="12">
        <f>1440.586*0.6</f>
        <v>864.35159999999996</v>
      </c>
      <c r="L256" s="12">
        <f t="shared" si="68"/>
        <v>391033.71860000002</v>
      </c>
      <c r="M256" s="12">
        <f>L256/I256</f>
        <v>1620.5628736608717</v>
      </c>
      <c r="N256" s="12" t="e">
        <f t="shared" si="65"/>
        <v>#REF!</v>
      </c>
      <c r="O256" s="12" t="e">
        <f t="shared" si="66"/>
        <v>#REF!</v>
      </c>
      <c r="P256" s="12" t="e">
        <f t="shared" si="67"/>
        <v>#REF!</v>
      </c>
    </row>
    <row r="257" spans="1:16" ht="15.75" hidden="1" x14ac:dyDescent="0.25">
      <c r="A257" s="16" t="s">
        <v>1818</v>
      </c>
      <c r="B257" s="16">
        <v>17</v>
      </c>
      <c r="C257" s="11" t="s">
        <v>1119</v>
      </c>
      <c r="D257" s="32" t="s">
        <v>1960</v>
      </c>
      <c r="E257" s="47" t="s">
        <v>680</v>
      </c>
      <c r="F257" s="48"/>
      <c r="G257" s="48">
        <v>0</v>
      </c>
      <c r="H257" s="48">
        <v>0</v>
      </c>
      <c r="I257" s="12">
        <f t="shared" si="64"/>
        <v>0</v>
      </c>
      <c r="J257" s="47">
        <v>0</v>
      </c>
      <c r="K257" s="47"/>
      <c r="L257" s="47"/>
      <c r="M257" s="47"/>
      <c r="N257" s="12"/>
      <c r="O257" s="12"/>
      <c r="P257" s="12"/>
    </row>
    <row r="258" spans="1:16" ht="15.75" hidden="1" x14ac:dyDescent="0.25">
      <c r="A258" s="14" t="s">
        <v>1818</v>
      </c>
      <c r="B258" s="14">
        <v>18</v>
      </c>
      <c r="C258" s="8" t="s">
        <v>1119</v>
      </c>
      <c r="D258" s="28" t="s">
        <v>1961</v>
      </c>
      <c r="E258" s="12" t="s">
        <v>681</v>
      </c>
      <c r="F258" s="1"/>
      <c r="G258" s="1">
        <v>75.486000000000004</v>
      </c>
      <c r="H258" s="1">
        <v>15.173999999999999</v>
      </c>
      <c r="I258" s="12">
        <f t="shared" si="64"/>
        <v>90.66</v>
      </c>
      <c r="J258" s="12">
        <v>241757.96400000001</v>
      </c>
      <c r="K258" s="12"/>
      <c r="L258" s="12">
        <f t="shared" ref="L258:L263" si="69">J258+K258</f>
        <v>241757.96400000001</v>
      </c>
      <c r="M258" s="12">
        <f>L258/I258</f>
        <v>2666.6442091330246</v>
      </c>
      <c r="N258" s="12" t="e">
        <f t="shared" ref="N258:N268" si="70">M258/$M$1431</f>
        <v>#REF!</v>
      </c>
      <c r="O258" s="12" t="e">
        <f t="shared" ref="O258:O268" si="71">ROUND(IF(N258&lt;110%,0,(M258-$M$1431*1.1)*0.8)*I258,1)</f>
        <v>#REF!</v>
      </c>
      <c r="P258" s="12" t="e">
        <f t="shared" ref="P258:P268" si="72">ROUND(IF(N258&gt;90%,0,(-M258+$M$1431*0.9)*0.8)*I258,1)</f>
        <v>#REF!</v>
      </c>
    </row>
    <row r="259" spans="1:16" ht="15.75" hidden="1" x14ac:dyDescent="0.25">
      <c r="A259" s="14" t="s">
        <v>1818</v>
      </c>
      <c r="B259" s="14">
        <v>19</v>
      </c>
      <c r="C259" s="8" t="s">
        <v>1119</v>
      </c>
      <c r="D259" s="28" t="s">
        <v>1962</v>
      </c>
      <c r="E259" s="12" t="s">
        <v>1228</v>
      </c>
      <c r="F259" s="1">
        <v>1</v>
      </c>
      <c r="G259" s="1">
        <v>0</v>
      </c>
      <c r="H259" s="1">
        <v>0</v>
      </c>
      <c r="I259" s="12">
        <f t="shared" si="64"/>
        <v>0</v>
      </c>
      <c r="J259" s="12">
        <v>0</v>
      </c>
      <c r="K259" s="12"/>
      <c r="L259" s="12"/>
      <c r="M259" s="12"/>
      <c r="N259" s="12" t="e">
        <f t="shared" si="70"/>
        <v>#REF!</v>
      </c>
      <c r="O259" s="12" t="e">
        <f t="shared" si="71"/>
        <v>#REF!</v>
      </c>
      <c r="P259" s="12" t="e">
        <f t="shared" si="72"/>
        <v>#REF!</v>
      </c>
    </row>
    <row r="260" spans="1:16" ht="15.75" hidden="1" x14ac:dyDescent="0.25">
      <c r="A260" s="14" t="s">
        <v>1818</v>
      </c>
      <c r="B260" s="14">
        <v>20</v>
      </c>
      <c r="C260" s="8" t="s">
        <v>1119</v>
      </c>
      <c r="D260" s="28" t="s">
        <v>1963</v>
      </c>
      <c r="E260" s="12" t="s">
        <v>1229</v>
      </c>
      <c r="F260" s="1"/>
      <c r="G260" s="1">
        <v>470.96800000000002</v>
      </c>
      <c r="H260" s="1">
        <v>91.14</v>
      </c>
      <c r="I260" s="12">
        <f t="shared" si="64"/>
        <v>562.10800000000006</v>
      </c>
      <c r="J260" s="12">
        <v>1138177.8219999999</v>
      </c>
      <c r="K260" s="12"/>
      <c r="L260" s="12">
        <f t="shared" si="69"/>
        <v>1138177.8219999999</v>
      </c>
      <c r="M260" s="12">
        <f>L260/I260</f>
        <v>2024.838326442605</v>
      </c>
      <c r="N260" s="12" t="e">
        <f t="shared" si="70"/>
        <v>#REF!</v>
      </c>
      <c r="O260" s="12" t="e">
        <f t="shared" si="71"/>
        <v>#REF!</v>
      </c>
      <c r="P260" s="12" t="e">
        <f t="shared" si="72"/>
        <v>#REF!</v>
      </c>
    </row>
    <row r="261" spans="1:16" ht="15.75" hidden="1" x14ac:dyDescent="0.25">
      <c r="A261" s="14" t="s">
        <v>1818</v>
      </c>
      <c r="B261" s="14">
        <v>21</v>
      </c>
      <c r="C261" s="8" t="s">
        <v>1119</v>
      </c>
      <c r="D261" s="28" t="s">
        <v>1964</v>
      </c>
      <c r="E261" s="12" t="s">
        <v>1230</v>
      </c>
      <c r="F261" s="1"/>
      <c r="G261" s="1">
        <v>14.930999999999999</v>
      </c>
      <c r="H261" s="1">
        <v>7.7590000000000003</v>
      </c>
      <c r="I261" s="12">
        <f t="shared" si="64"/>
        <v>22.689999999999998</v>
      </c>
      <c r="J261" s="12">
        <v>60180.28</v>
      </c>
      <c r="K261" s="12"/>
      <c r="L261" s="12">
        <f t="shared" si="69"/>
        <v>60180.28</v>
      </c>
      <c r="M261" s="12">
        <f>L261/I261</f>
        <v>2652.2820625826357</v>
      </c>
      <c r="N261" s="12" t="e">
        <f t="shared" si="70"/>
        <v>#REF!</v>
      </c>
      <c r="O261" s="12" t="e">
        <f t="shared" si="71"/>
        <v>#REF!</v>
      </c>
      <c r="P261" s="12" t="e">
        <f t="shared" si="72"/>
        <v>#REF!</v>
      </c>
    </row>
    <row r="262" spans="1:16" ht="15.75" hidden="1" x14ac:dyDescent="0.25">
      <c r="A262" s="14" t="s">
        <v>1818</v>
      </c>
      <c r="B262" s="14">
        <v>22</v>
      </c>
      <c r="C262" s="8" t="s">
        <v>1119</v>
      </c>
      <c r="D262" s="28" t="s">
        <v>1965</v>
      </c>
      <c r="E262" s="12" t="s">
        <v>1231</v>
      </c>
      <c r="F262" s="1"/>
      <c r="G262" s="1">
        <v>52.003</v>
      </c>
      <c r="H262" s="1">
        <v>13.513</v>
      </c>
      <c r="I262" s="12">
        <f t="shared" si="64"/>
        <v>65.516000000000005</v>
      </c>
      <c r="J262" s="12">
        <v>63214.542999999998</v>
      </c>
      <c r="K262" s="12"/>
      <c r="L262" s="12">
        <f t="shared" si="69"/>
        <v>63214.542999999998</v>
      </c>
      <c r="M262" s="12">
        <f>L262/I262</f>
        <v>964.87183283472723</v>
      </c>
      <c r="N262" s="12" t="e">
        <f t="shared" si="70"/>
        <v>#REF!</v>
      </c>
      <c r="O262" s="12" t="e">
        <f t="shared" si="71"/>
        <v>#REF!</v>
      </c>
      <c r="P262" s="12" t="e">
        <f t="shared" si="72"/>
        <v>#REF!</v>
      </c>
    </row>
    <row r="263" spans="1:16" ht="15.75" hidden="1" x14ac:dyDescent="0.25">
      <c r="A263" s="14" t="s">
        <v>1818</v>
      </c>
      <c r="B263" s="14">
        <v>23</v>
      </c>
      <c r="C263" s="8" t="s">
        <v>1119</v>
      </c>
      <c r="D263" s="28" t="s">
        <v>1966</v>
      </c>
      <c r="E263" s="12" t="s">
        <v>1232</v>
      </c>
      <c r="F263" s="1"/>
      <c r="G263" s="1">
        <v>117.7</v>
      </c>
      <c r="H263" s="1">
        <v>38.779000000000003</v>
      </c>
      <c r="I263" s="12">
        <f t="shared" si="64"/>
        <v>156.47900000000001</v>
      </c>
      <c r="J263" s="12">
        <v>170064.29399999999</v>
      </c>
      <c r="K263" s="12">
        <f>-1440.586*0.6</f>
        <v>-864.35159999999996</v>
      </c>
      <c r="L263" s="12">
        <f t="shared" si="69"/>
        <v>169199.9424</v>
      </c>
      <c r="M263" s="12">
        <f>L263/I263</f>
        <v>1081.2948855757002</v>
      </c>
      <c r="N263" s="12" t="e">
        <f t="shared" si="70"/>
        <v>#REF!</v>
      </c>
      <c r="O263" s="12" t="e">
        <f t="shared" si="71"/>
        <v>#REF!</v>
      </c>
      <c r="P263" s="12" t="e">
        <f t="shared" si="72"/>
        <v>#REF!</v>
      </c>
    </row>
    <row r="264" spans="1:16" ht="15.75" hidden="1" x14ac:dyDescent="0.25">
      <c r="A264" s="14" t="s">
        <v>1818</v>
      </c>
      <c r="B264" s="14">
        <v>24</v>
      </c>
      <c r="C264" s="8" t="s">
        <v>1119</v>
      </c>
      <c r="D264" s="28" t="s">
        <v>1967</v>
      </c>
      <c r="E264" s="12" t="s">
        <v>1233</v>
      </c>
      <c r="F264" s="1">
        <v>1</v>
      </c>
      <c r="G264" s="1">
        <v>0</v>
      </c>
      <c r="H264" s="1">
        <v>0</v>
      </c>
      <c r="I264" s="12">
        <f t="shared" si="64"/>
        <v>0</v>
      </c>
      <c r="J264" s="12">
        <v>0</v>
      </c>
      <c r="K264" s="12"/>
      <c r="L264" s="12"/>
      <c r="M264" s="12"/>
      <c r="N264" s="12" t="e">
        <f t="shared" si="70"/>
        <v>#REF!</v>
      </c>
      <c r="O264" s="12" t="e">
        <f t="shared" si="71"/>
        <v>#REF!</v>
      </c>
      <c r="P264" s="12" t="e">
        <f t="shared" si="72"/>
        <v>#REF!</v>
      </c>
    </row>
    <row r="265" spans="1:16" ht="15.75" hidden="1" x14ac:dyDescent="0.25">
      <c r="A265" s="14" t="s">
        <v>1818</v>
      </c>
      <c r="B265" s="14">
        <v>25</v>
      </c>
      <c r="C265" s="8" t="s">
        <v>1119</v>
      </c>
      <c r="D265" s="28" t="s">
        <v>1968</v>
      </c>
      <c r="E265" s="12" t="s">
        <v>682</v>
      </c>
      <c r="F265" s="1">
        <v>1</v>
      </c>
      <c r="G265" s="1">
        <v>0</v>
      </c>
      <c r="H265" s="1">
        <v>0</v>
      </c>
      <c r="I265" s="12">
        <f t="shared" si="64"/>
        <v>0</v>
      </c>
      <c r="J265" s="12">
        <v>0</v>
      </c>
      <c r="K265" s="12"/>
      <c r="L265" s="12"/>
      <c r="M265" s="12"/>
      <c r="N265" s="12" t="e">
        <f t="shared" si="70"/>
        <v>#REF!</v>
      </c>
      <c r="O265" s="12" t="e">
        <f t="shared" si="71"/>
        <v>#REF!</v>
      </c>
      <c r="P265" s="12" t="e">
        <f t="shared" si="72"/>
        <v>#REF!</v>
      </c>
    </row>
    <row r="266" spans="1:16" ht="15.75" hidden="1" x14ac:dyDescent="0.25">
      <c r="A266" s="14" t="s">
        <v>1818</v>
      </c>
      <c r="B266" s="14">
        <v>26</v>
      </c>
      <c r="C266" s="8" t="s">
        <v>1119</v>
      </c>
      <c r="D266" s="28" t="s">
        <v>1969</v>
      </c>
      <c r="E266" s="12" t="s">
        <v>1234</v>
      </c>
      <c r="F266" s="1">
        <v>1</v>
      </c>
      <c r="G266" s="1">
        <v>0</v>
      </c>
      <c r="H266" s="1">
        <v>0</v>
      </c>
      <c r="I266" s="12">
        <f t="shared" si="64"/>
        <v>0</v>
      </c>
      <c r="J266" s="12">
        <v>0</v>
      </c>
      <c r="K266" s="12"/>
      <c r="L266" s="12"/>
      <c r="M266" s="12"/>
      <c r="N266" s="12" t="e">
        <f t="shared" si="70"/>
        <v>#REF!</v>
      </c>
      <c r="O266" s="12" t="e">
        <f t="shared" si="71"/>
        <v>#REF!</v>
      </c>
      <c r="P266" s="12" t="e">
        <f t="shared" si="72"/>
        <v>#REF!</v>
      </c>
    </row>
    <row r="267" spans="1:16" ht="15.75" hidden="1" x14ac:dyDescent="0.25">
      <c r="A267" s="14" t="s">
        <v>1818</v>
      </c>
      <c r="B267" s="14">
        <v>27</v>
      </c>
      <c r="C267" s="8" t="s">
        <v>1119</v>
      </c>
      <c r="D267" s="28" t="s">
        <v>1970</v>
      </c>
      <c r="E267" s="12" t="s">
        <v>1235</v>
      </c>
      <c r="F267" s="1">
        <v>1</v>
      </c>
      <c r="G267" s="1">
        <v>0</v>
      </c>
      <c r="H267" s="1">
        <v>0</v>
      </c>
      <c r="I267" s="12">
        <f t="shared" si="64"/>
        <v>0</v>
      </c>
      <c r="J267" s="12">
        <v>0</v>
      </c>
      <c r="K267" s="12"/>
      <c r="L267" s="12"/>
      <c r="M267" s="12"/>
      <c r="N267" s="12" t="e">
        <f t="shared" si="70"/>
        <v>#REF!</v>
      </c>
      <c r="O267" s="12" t="e">
        <f t="shared" si="71"/>
        <v>#REF!</v>
      </c>
      <c r="P267" s="12" t="e">
        <f t="shared" si="72"/>
        <v>#REF!</v>
      </c>
    </row>
    <row r="268" spans="1:16" ht="15.75" hidden="1" x14ac:dyDescent="0.25">
      <c r="A268" s="14" t="s">
        <v>1818</v>
      </c>
      <c r="B268" s="14">
        <v>28</v>
      </c>
      <c r="C268" s="8" t="s">
        <v>1119</v>
      </c>
      <c r="D268" s="28" t="s">
        <v>1971</v>
      </c>
      <c r="E268" s="12" t="s">
        <v>1236</v>
      </c>
      <c r="F268" s="1">
        <v>1</v>
      </c>
      <c r="G268" s="1">
        <v>0</v>
      </c>
      <c r="H268" s="1">
        <v>0</v>
      </c>
      <c r="I268" s="12">
        <f t="shared" si="64"/>
        <v>0</v>
      </c>
      <c r="J268" s="12">
        <v>0</v>
      </c>
      <c r="K268" s="12"/>
      <c r="L268" s="12"/>
      <c r="M268" s="12"/>
      <c r="N268" s="12" t="e">
        <f t="shared" si="70"/>
        <v>#REF!</v>
      </c>
      <c r="O268" s="12" t="e">
        <f t="shared" si="71"/>
        <v>#REF!</v>
      </c>
      <c r="P268" s="12" t="e">
        <f t="shared" si="72"/>
        <v>#REF!</v>
      </c>
    </row>
    <row r="269" spans="1:16" ht="15.75" hidden="1" x14ac:dyDescent="0.25">
      <c r="A269" s="15" t="s">
        <v>1818</v>
      </c>
      <c r="B269" s="15" t="s">
        <v>1126</v>
      </c>
      <c r="C269" s="10" t="s">
        <v>1157</v>
      </c>
      <c r="D269" s="29"/>
      <c r="E269" s="37" t="s">
        <v>1158</v>
      </c>
      <c r="F269" s="6"/>
      <c r="G269" s="37">
        <f t="shared" ref="G269:L269" si="73">SUM(G270:G286)</f>
        <v>462.72700000000003</v>
      </c>
      <c r="H269" s="37">
        <f>SUM(H270:H286)</f>
        <v>142.80200000000002</v>
      </c>
      <c r="I269" s="37">
        <f t="shared" si="73"/>
        <v>605.52900000000011</v>
      </c>
      <c r="J269" s="37">
        <f t="shared" si="73"/>
        <v>473934.6145599999</v>
      </c>
      <c r="K269" s="37">
        <f t="shared" si="73"/>
        <v>0</v>
      </c>
      <c r="L269" s="37">
        <f t="shared" si="73"/>
        <v>473934.6145599999</v>
      </c>
      <c r="M269" s="37">
        <f>L269/I269</f>
        <v>782.67864059359636</v>
      </c>
      <c r="N269" s="37" t="e">
        <f>M269/$M$1429</f>
        <v>#REF!</v>
      </c>
      <c r="O269" s="37" t="e">
        <f>SUM(O270:O286)</f>
        <v>#REF!</v>
      </c>
      <c r="P269" s="37" t="e">
        <f>SUM(P270:P286)</f>
        <v>#REF!</v>
      </c>
    </row>
    <row r="270" spans="1:16" ht="15.75" hidden="1" x14ac:dyDescent="0.25">
      <c r="A270" s="14" t="s">
        <v>1818</v>
      </c>
      <c r="B270" s="14">
        <v>29</v>
      </c>
      <c r="C270" s="8" t="s">
        <v>1129</v>
      </c>
      <c r="D270" s="28" t="s">
        <v>1972</v>
      </c>
      <c r="E270" s="12" t="s">
        <v>1237</v>
      </c>
      <c r="F270" s="1">
        <v>1</v>
      </c>
      <c r="G270" s="1">
        <v>0</v>
      </c>
      <c r="H270" s="1">
        <v>0</v>
      </c>
      <c r="I270" s="12">
        <f t="shared" ref="I270:I286" si="74">H270+G270</f>
        <v>0</v>
      </c>
      <c r="J270" s="12">
        <v>0</v>
      </c>
      <c r="K270" s="12"/>
      <c r="L270" s="12"/>
      <c r="M270" s="12"/>
      <c r="N270" s="12" t="e">
        <f t="shared" ref="N270:N286" si="75">M270/$M$1432</f>
        <v>#REF!</v>
      </c>
      <c r="O270" s="12" t="e">
        <f t="shared" ref="O270:O286" si="76">ROUND(IF(N270&lt;110%,0,(M270-$M$1432*1.1)*0.8)*I270,1)</f>
        <v>#REF!</v>
      </c>
      <c r="P270" s="12" t="e">
        <f t="shared" ref="P270:P286" si="77">ROUND(IF(N270&gt;90%,0,(-M270+$M$1432*0.9)*0.8)*I270,1)</f>
        <v>#REF!</v>
      </c>
    </row>
    <row r="271" spans="1:16" ht="15.75" hidden="1" x14ac:dyDescent="0.25">
      <c r="A271" s="14" t="s">
        <v>1818</v>
      </c>
      <c r="B271" s="14">
        <v>30</v>
      </c>
      <c r="C271" s="8" t="s">
        <v>1129</v>
      </c>
      <c r="D271" s="28" t="s">
        <v>1973</v>
      </c>
      <c r="E271" s="12" t="s">
        <v>683</v>
      </c>
      <c r="F271" s="1"/>
      <c r="G271" s="1">
        <v>71.207999999999998</v>
      </c>
      <c r="H271" s="1">
        <v>4.0410000000000004</v>
      </c>
      <c r="I271" s="12">
        <f t="shared" si="74"/>
        <v>75.248999999999995</v>
      </c>
      <c r="J271" s="12">
        <f>72893.049-4247.169-2070.401</f>
        <v>66575.479000000007</v>
      </c>
      <c r="K271" s="12"/>
      <c r="L271" s="12">
        <f t="shared" ref="L271:L286" si="78">J271+K271</f>
        <v>66575.479000000007</v>
      </c>
      <c r="M271" s="12">
        <f t="shared" ref="M271:M278" si="79">L271/I271</f>
        <v>884.73573070738496</v>
      </c>
      <c r="N271" s="12" t="e">
        <f t="shared" si="75"/>
        <v>#REF!</v>
      </c>
      <c r="O271" s="12" t="e">
        <f t="shared" si="76"/>
        <v>#REF!</v>
      </c>
      <c r="P271" s="12" t="e">
        <f t="shared" si="77"/>
        <v>#REF!</v>
      </c>
    </row>
    <row r="272" spans="1:16" ht="15.75" hidden="1" x14ac:dyDescent="0.25">
      <c r="A272" s="14" t="s">
        <v>1818</v>
      </c>
      <c r="B272" s="14">
        <v>31</v>
      </c>
      <c r="C272" s="8" t="s">
        <v>1129</v>
      </c>
      <c r="D272" s="28" t="s">
        <v>1974</v>
      </c>
      <c r="E272" s="12" t="s">
        <v>1238</v>
      </c>
      <c r="F272" s="1"/>
      <c r="G272" s="1">
        <v>39.018999999999998</v>
      </c>
      <c r="H272" s="1">
        <v>12.07</v>
      </c>
      <c r="I272" s="12">
        <f t="shared" si="74"/>
        <v>51.088999999999999</v>
      </c>
      <c r="J272" s="12">
        <v>37543.614000000001</v>
      </c>
      <c r="K272" s="12"/>
      <c r="L272" s="12">
        <f t="shared" si="78"/>
        <v>37543.614000000001</v>
      </c>
      <c r="M272" s="12">
        <f t="shared" si="79"/>
        <v>734.86687936737849</v>
      </c>
      <c r="N272" s="12" t="e">
        <f t="shared" si="75"/>
        <v>#REF!</v>
      </c>
      <c r="O272" s="12" t="e">
        <f t="shared" si="76"/>
        <v>#REF!</v>
      </c>
      <c r="P272" s="12" t="e">
        <f t="shared" si="77"/>
        <v>#REF!</v>
      </c>
    </row>
    <row r="273" spans="1:16" ht="15.75" hidden="1" x14ac:dyDescent="0.25">
      <c r="A273" s="14" t="s">
        <v>1818</v>
      </c>
      <c r="B273" s="14">
        <v>32</v>
      </c>
      <c r="C273" s="8" t="s">
        <v>1129</v>
      </c>
      <c r="D273" s="28" t="s">
        <v>1975</v>
      </c>
      <c r="E273" s="12" t="s">
        <v>1239</v>
      </c>
      <c r="F273" s="1"/>
      <c r="G273" s="1">
        <v>99.546000000000006</v>
      </c>
      <c r="H273" s="1">
        <v>51.753</v>
      </c>
      <c r="I273" s="12">
        <f t="shared" si="74"/>
        <v>151.29900000000001</v>
      </c>
      <c r="J273" s="12">
        <v>115068.129</v>
      </c>
      <c r="K273" s="12"/>
      <c r="L273" s="12">
        <f t="shared" si="78"/>
        <v>115068.129</v>
      </c>
      <c r="M273" s="12">
        <f t="shared" si="79"/>
        <v>760.5346301033054</v>
      </c>
      <c r="N273" s="12" t="e">
        <f t="shared" si="75"/>
        <v>#REF!</v>
      </c>
      <c r="O273" s="12" t="e">
        <f t="shared" si="76"/>
        <v>#REF!</v>
      </c>
      <c r="P273" s="12" t="e">
        <f t="shared" si="77"/>
        <v>#REF!</v>
      </c>
    </row>
    <row r="274" spans="1:16" ht="15.75" hidden="1" x14ac:dyDescent="0.25">
      <c r="A274" s="14" t="s">
        <v>1818</v>
      </c>
      <c r="B274" s="14">
        <v>33</v>
      </c>
      <c r="C274" s="8" t="s">
        <v>1129</v>
      </c>
      <c r="D274" s="28" t="s">
        <v>1976</v>
      </c>
      <c r="E274" s="12" t="s">
        <v>684</v>
      </c>
      <c r="F274" s="1"/>
      <c r="G274" s="1">
        <v>28.492999999999999</v>
      </c>
      <c r="H274" s="1">
        <v>13.989000000000001</v>
      </c>
      <c r="I274" s="12">
        <f t="shared" si="74"/>
        <v>42.481999999999999</v>
      </c>
      <c r="J274" s="12">
        <v>27436.998</v>
      </c>
      <c r="K274" s="12"/>
      <c r="L274" s="12">
        <f t="shared" si="78"/>
        <v>27436.998</v>
      </c>
      <c r="M274" s="12">
        <f t="shared" si="79"/>
        <v>645.84995998305169</v>
      </c>
      <c r="N274" s="12" t="e">
        <f t="shared" si="75"/>
        <v>#REF!</v>
      </c>
      <c r="O274" s="12" t="e">
        <f t="shared" si="76"/>
        <v>#REF!</v>
      </c>
      <c r="P274" s="12" t="e">
        <f t="shared" si="77"/>
        <v>#REF!</v>
      </c>
    </row>
    <row r="275" spans="1:16" ht="15.75" hidden="1" x14ac:dyDescent="0.25">
      <c r="A275" s="14" t="s">
        <v>1818</v>
      </c>
      <c r="B275" s="14">
        <v>34</v>
      </c>
      <c r="C275" s="8" t="s">
        <v>1129</v>
      </c>
      <c r="D275" s="28" t="s">
        <v>1977</v>
      </c>
      <c r="E275" s="12" t="s">
        <v>1240</v>
      </c>
      <c r="F275" s="1"/>
      <c r="G275" s="1">
        <v>12.731</v>
      </c>
      <c r="H275" s="1">
        <v>0.48799999999999999</v>
      </c>
      <c r="I275" s="12">
        <f t="shared" si="74"/>
        <v>13.218999999999999</v>
      </c>
      <c r="J275" s="12">
        <v>17632.298999999999</v>
      </c>
      <c r="K275" s="12"/>
      <c r="L275" s="12">
        <f t="shared" si="78"/>
        <v>17632.298999999999</v>
      </c>
      <c r="M275" s="12">
        <f t="shared" si="79"/>
        <v>1333.8602768741962</v>
      </c>
      <c r="N275" s="12" t="e">
        <f t="shared" si="75"/>
        <v>#REF!</v>
      </c>
      <c r="O275" s="12" t="e">
        <f t="shared" si="76"/>
        <v>#REF!</v>
      </c>
      <c r="P275" s="12" t="e">
        <f t="shared" si="77"/>
        <v>#REF!</v>
      </c>
    </row>
    <row r="276" spans="1:16" ht="15.75" hidden="1" x14ac:dyDescent="0.25">
      <c r="A276" s="14" t="s">
        <v>1818</v>
      </c>
      <c r="B276" s="14">
        <v>35</v>
      </c>
      <c r="C276" s="8" t="s">
        <v>1129</v>
      </c>
      <c r="D276" s="28" t="s">
        <v>1978</v>
      </c>
      <c r="E276" s="12" t="s">
        <v>1241</v>
      </c>
      <c r="F276" s="1"/>
      <c r="G276" s="1">
        <v>8.56</v>
      </c>
      <c r="H276" s="1">
        <v>1.089</v>
      </c>
      <c r="I276" s="12">
        <f t="shared" si="74"/>
        <v>9.6490000000000009</v>
      </c>
      <c r="J276" s="12">
        <v>8858.6509999999998</v>
      </c>
      <c r="K276" s="12"/>
      <c r="L276" s="12">
        <f t="shared" si="78"/>
        <v>8858.6509999999998</v>
      </c>
      <c r="M276" s="12">
        <f t="shared" si="79"/>
        <v>918.09006114623264</v>
      </c>
      <c r="N276" s="12" t="e">
        <f t="shared" si="75"/>
        <v>#REF!</v>
      </c>
      <c r="O276" s="12" t="e">
        <f t="shared" si="76"/>
        <v>#REF!</v>
      </c>
      <c r="P276" s="12" t="e">
        <f t="shared" si="77"/>
        <v>#REF!</v>
      </c>
    </row>
    <row r="277" spans="1:16" ht="15.75" hidden="1" x14ac:dyDescent="0.25">
      <c r="A277" s="14" t="s">
        <v>1818</v>
      </c>
      <c r="B277" s="14">
        <v>36</v>
      </c>
      <c r="C277" s="8" t="s">
        <v>1129</v>
      </c>
      <c r="D277" s="28" t="s">
        <v>1979</v>
      </c>
      <c r="E277" s="12" t="s">
        <v>685</v>
      </c>
      <c r="F277" s="1"/>
      <c r="G277" s="1">
        <v>30.652999999999999</v>
      </c>
      <c r="H277" s="1">
        <v>4.7830000000000004</v>
      </c>
      <c r="I277" s="12">
        <f t="shared" si="74"/>
        <v>35.436</v>
      </c>
      <c r="J277" s="12">
        <v>55890.366000000002</v>
      </c>
      <c r="K277" s="12"/>
      <c r="L277" s="12">
        <f t="shared" si="78"/>
        <v>55890.366000000002</v>
      </c>
      <c r="M277" s="12">
        <f t="shared" si="79"/>
        <v>1577.2199458178125</v>
      </c>
      <c r="N277" s="12" t="e">
        <f t="shared" si="75"/>
        <v>#REF!</v>
      </c>
      <c r="O277" s="12" t="e">
        <f t="shared" si="76"/>
        <v>#REF!</v>
      </c>
      <c r="P277" s="12" t="e">
        <f t="shared" si="77"/>
        <v>#REF!</v>
      </c>
    </row>
    <row r="278" spans="1:16" ht="15.75" hidden="1" x14ac:dyDescent="0.25">
      <c r="A278" s="14" t="s">
        <v>1818</v>
      </c>
      <c r="B278" s="14">
        <v>37</v>
      </c>
      <c r="C278" s="8" t="s">
        <v>1129</v>
      </c>
      <c r="D278" s="28" t="s">
        <v>1980</v>
      </c>
      <c r="E278" s="12" t="s">
        <v>1242</v>
      </c>
      <c r="F278" s="1"/>
      <c r="G278" s="1">
        <v>81.89</v>
      </c>
      <c r="H278" s="1">
        <v>17.527000000000001</v>
      </c>
      <c r="I278" s="12">
        <f t="shared" si="74"/>
        <v>99.417000000000002</v>
      </c>
      <c r="J278" s="12">
        <v>75792.289999999994</v>
      </c>
      <c r="K278" s="12"/>
      <c r="L278" s="12">
        <f t="shared" si="78"/>
        <v>75792.289999999994</v>
      </c>
      <c r="M278" s="12">
        <f t="shared" si="79"/>
        <v>762.36750253980699</v>
      </c>
      <c r="N278" s="12" t="e">
        <f t="shared" si="75"/>
        <v>#REF!</v>
      </c>
      <c r="O278" s="12" t="e">
        <f t="shared" si="76"/>
        <v>#REF!</v>
      </c>
      <c r="P278" s="12" t="e">
        <f t="shared" si="77"/>
        <v>#REF!</v>
      </c>
    </row>
    <row r="279" spans="1:16" ht="15.75" hidden="1" x14ac:dyDescent="0.25">
      <c r="A279" s="14" t="s">
        <v>1818</v>
      </c>
      <c r="B279" s="14">
        <v>38</v>
      </c>
      <c r="C279" s="8" t="s">
        <v>1129</v>
      </c>
      <c r="D279" s="28" t="s">
        <v>1981</v>
      </c>
      <c r="E279" s="12" t="s">
        <v>1243</v>
      </c>
      <c r="F279" s="1">
        <v>1</v>
      </c>
      <c r="G279" s="1">
        <v>0</v>
      </c>
      <c r="H279" s="1">
        <v>0</v>
      </c>
      <c r="I279" s="12">
        <f t="shared" si="74"/>
        <v>0</v>
      </c>
      <c r="J279" s="12">
        <v>0</v>
      </c>
      <c r="K279" s="12"/>
      <c r="L279" s="12"/>
      <c r="M279" s="12"/>
      <c r="N279" s="12" t="e">
        <f t="shared" si="75"/>
        <v>#REF!</v>
      </c>
      <c r="O279" s="12" t="e">
        <f t="shared" si="76"/>
        <v>#REF!</v>
      </c>
      <c r="P279" s="12" t="e">
        <f t="shared" si="77"/>
        <v>#REF!</v>
      </c>
    </row>
    <row r="280" spans="1:16" ht="15.75" hidden="1" x14ac:dyDescent="0.25">
      <c r="A280" s="14" t="s">
        <v>1818</v>
      </c>
      <c r="B280" s="14">
        <v>39</v>
      </c>
      <c r="C280" s="8" t="s">
        <v>1129</v>
      </c>
      <c r="D280" s="28" t="s">
        <v>1982</v>
      </c>
      <c r="E280" s="12" t="s">
        <v>1244</v>
      </c>
      <c r="F280" s="1"/>
      <c r="G280" s="1">
        <v>18.600000000000001</v>
      </c>
      <c r="H280" s="1">
        <v>2.7469999999999999</v>
      </c>
      <c r="I280" s="12">
        <f t="shared" si="74"/>
        <v>21.347000000000001</v>
      </c>
      <c r="J280" s="12">
        <v>17886.754000000001</v>
      </c>
      <c r="K280" s="12"/>
      <c r="L280" s="12">
        <f t="shared" si="78"/>
        <v>17886.754000000001</v>
      </c>
      <c r="M280" s="12">
        <f>L280/I280</f>
        <v>837.90481098046564</v>
      </c>
      <c r="N280" s="12" t="e">
        <f t="shared" si="75"/>
        <v>#REF!</v>
      </c>
      <c r="O280" s="12" t="e">
        <f t="shared" si="76"/>
        <v>#REF!</v>
      </c>
      <c r="P280" s="12" t="e">
        <f t="shared" si="77"/>
        <v>#REF!</v>
      </c>
    </row>
    <row r="281" spans="1:16" ht="15.75" hidden="1" x14ac:dyDescent="0.25">
      <c r="A281" s="14" t="s">
        <v>1818</v>
      </c>
      <c r="B281" s="14">
        <v>40</v>
      </c>
      <c r="C281" s="8" t="s">
        <v>1129</v>
      </c>
      <c r="D281" s="28" t="s">
        <v>1983</v>
      </c>
      <c r="E281" s="12" t="s">
        <v>686</v>
      </c>
      <c r="F281" s="1"/>
      <c r="G281" s="1">
        <v>26.51</v>
      </c>
      <c r="H281" s="1">
        <v>12.945</v>
      </c>
      <c r="I281" s="12">
        <f t="shared" si="74"/>
        <v>39.454999999999998</v>
      </c>
      <c r="J281" s="12">
        <v>27218.095000000001</v>
      </c>
      <c r="K281" s="12"/>
      <c r="L281" s="12">
        <f t="shared" si="78"/>
        <v>27218.095000000001</v>
      </c>
      <c r="M281" s="12">
        <f>L281/I281</f>
        <v>689.85160309213029</v>
      </c>
      <c r="N281" s="12" t="e">
        <f t="shared" si="75"/>
        <v>#REF!</v>
      </c>
      <c r="O281" s="12" t="e">
        <f t="shared" si="76"/>
        <v>#REF!</v>
      </c>
      <c r="P281" s="12" t="e">
        <f t="shared" si="77"/>
        <v>#REF!</v>
      </c>
    </row>
    <row r="282" spans="1:16" ht="15.75" hidden="1" x14ac:dyDescent="0.25">
      <c r="A282" s="14" t="s">
        <v>1818</v>
      </c>
      <c r="B282" s="14">
        <v>41</v>
      </c>
      <c r="C282" s="8" t="s">
        <v>1129</v>
      </c>
      <c r="D282" s="28" t="s">
        <v>1984</v>
      </c>
      <c r="E282" s="12" t="s">
        <v>1245</v>
      </c>
      <c r="F282" s="1"/>
      <c r="G282" s="1">
        <v>18.693999999999999</v>
      </c>
      <c r="H282" s="1">
        <v>14.275</v>
      </c>
      <c r="I282" s="12">
        <f t="shared" si="74"/>
        <v>32.969000000000001</v>
      </c>
      <c r="J282" s="12">
        <f>19065.317-5100.501</f>
        <v>13964.815999999999</v>
      </c>
      <c r="K282" s="12"/>
      <c r="L282" s="12">
        <f t="shared" si="78"/>
        <v>13964.815999999999</v>
      </c>
      <c r="M282" s="12">
        <f>L282/I282</f>
        <v>423.57414540932388</v>
      </c>
      <c r="N282" s="12" t="e">
        <f t="shared" si="75"/>
        <v>#REF!</v>
      </c>
      <c r="O282" s="12" t="e">
        <f t="shared" si="76"/>
        <v>#REF!</v>
      </c>
      <c r="P282" s="12" t="e">
        <f t="shared" si="77"/>
        <v>#REF!</v>
      </c>
    </row>
    <row r="283" spans="1:16" ht="15.75" hidden="1" x14ac:dyDescent="0.25">
      <c r="A283" s="14" t="s">
        <v>1818</v>
      </c>
      <c r="B283" s="14">
        <v>42</v>
      </c>
      <c r="C283" s="8" t="s">
        <v>1129</v>
      </c>
      <c r="D283" s="28" t="s">
        <v>1985</v>
      </c>
      <c r="E283" s="12" t="s">
        <v>1246</v>
      </c>
      <c r="F283" s="1">
        <v>1</v>
      </c>
      <c r="G283" s="1">
        <v>0</v>
      </c>
      <c r="H283" s="1">
        <v>0</v>
      </c>
      <c r="I283" s="12">
        <f t="shared" si="74"/>
        <v>0</v>
      </c>
      <c r="J283" s="12">
        <v>0</v>
      </c>
      <c r="K283" s="12"/>
      <c r="L283" s="12"/>
      <c r="M283" s="12"/>
      <c r="N283" s="12" t="e">
        <f t="shared" si="75"/>
        <v>#REF!</v>
      </c>
      <c r="O283" s="12" t="e">
        <f t="shared" si="76"/>
        <v>#REF!</v>
      </c>
      <c r="P283" s="12" t="e">
        <f t="shared" si="77"/>
        <v>#REF!</v>
      </c>
    </row>
    <row r="284" spans="1:16" ht="15.75" hidden="1" x14ac:dyDescent="0.25">
      <c r="A284" s="14" t="s">
        <v>1818</v>
      </c>
      <c r="B284" s="14">
        <v>43</v>
      </c>
      <c r="C284" s="8" t="s">
        <v>1129</v>
      </c>
      <c r="D284" s="28" t="s">
        <v>1986</v>
      </c>
      <c r="E284" s="12" t="s">
        <v>687</v>
      </c>
      <c r="F284" s="1">
        <v>1</v>
      </c>
      <c r="G284" s="1">
        <v>0</v>
      </c>
      <c r="H284" s="1">
        <v>0</v>
      </c>
      <c r="I284" s="12">
        <f t="shared" si="74"/>
        <v>0</v>
      </c>
      <c r="J284" s="12">
        <v>0</v>
      </c>
      <c r="K284" s="12"/>
      <c r="L284" s="12"/>
      <c r="M284" s="12"/>
      <c r="N284" s="12" t="e">
        <f t="shared" si="75"/>
        <v>#REF!</v>
      </c>
      <c r="O284" s="12" t="e">
        <f t="shared" si="76"/>
        <v>#REF!</v>
      </c>
      <c r="P284" s="12" t="e">
        <f t="shared" si="77"/>
        <v>#REF!</v>
      </c>
    </row>
    <row r="285" spans="1:16" ht="15.75" hidden="1" x14ac:dyDescent="0.25">
      <c r="A285" s="14" t="s">
        <v>1818</v>
      </c>
      <c r="B285" s="14">
        <v>44</v>
      </c>
      <c r="C285" s="8" t="s">
        <v>1129</v>
      </c>
      <c r="D285" s="28" t="s">
        <v>1987</v>
      </c>
      <c r="E285" s="12" t="s">
        <v>1247</v>
      </c>
      <c r="F285" s="1">
        <v>1</v>
      </c>
      <c r="G285" s="1">
        <v>0</v>
      </c>
      <c r="H285" s="1">
        <v>0</v>
      </c>
      <c r="I285" s="12">
        <f t="shared" si="74"/>
        <v>0</v>
      </c>
      <c r="J285" s="12">
        <v>0</v>
      </c>
      <c r="K285" s="12"/>
      <c r="L285" s="12"/>
      <c r="M285" s="12"/>
      <c r="N285" s="12" t="e">
        <f t="shared" si="75"/>
        <v>#REF!</v>
      </c>
      <c r="O285" s="12" t="e">
        <f t="shared" si="76"/>
        <v>#REF!</v>
      </c>
      <c r="P285" s="12" t="e">
        <f t="shared" si="77"/>
        <v>#REF!</v>
      </c>
    </row>
    <row r="286" spans="1:16" ht="15.75" hidden="1" x14ac:dyDescent="0.25">
      <c r="A286" s="14" t="s">
        <v>1818</v>
      </c>
      <c r="B286" s="14">
        <v>45</v>
      </c>
      <c r="C286" s="8" t="s">
        <v>1129</v>
      </c>
      <c r="D286" s="28" t="s">
        <v>1988</v>
      </c>
      <c r="E286" s="12" t="s">
        <v>1248</v>
      </c>
      <c r="F286" s="1"/>
      <c r="G286" s="1">
        <v>26.823</v>
      </c>
      <c r="H286" s="1">
        <v>7.0949999999999998</v>
      </c>
      <c r="I286" s="12">
        <f t="shared" si="74"/>
        <v>33.917999999999999</v>
      </c>
      <c r="J286" s="12">
        <v>10067.12356</v>
      </c>
      <c r="K286" s="12"/>
      <c r="L286" s="12">
        <f t="shared" si="78"/>
        <v>10067.12356</v>
      </c>
      <c r="M286" s="12">
        <f>L286/I286</f>
        <v>296.80769974644733</v>
      </c>
      <c r="N286" s="12" t="e">
        <f t="shared" si="75"/>
        <v>#REF!</v>
      </c>
      <c r="O286" s="12" t="e">
        <f t="shared" si="76"/>
        <v>#REF!</v>
      </c>
      <c r="P286" s="12" t="e">
        <f t="shared" si="77"/>
        <v>#REF!</v>
      </c>
    </row>
    <row r="287" spans="1:16" ht="15.75" hidden="1" x14ac:dyDescent="0.25">
      <c r="A287" s="15" t="s">
        <v>1818</v>
      </c>
      <c r="B287" s="15" t="s">
        <v>1126</v>
      </c>
      <c r="C287" s="10" t="s">
        <v>1743</v>
      </c>
      <c r="D287" s="29"/>
      <c r="E287" s="37" t="s">
        <v>1747</v>
      </c>
      <c r="F287" s="6"/>
      <c r="G287" s="37">
        <f t="shared" ref="G287:L287" si="80">SUM(G288:G296)</f>
        <v>122.75899999999999</v>
      </c>
      <c r="H287" s="37">
        <f t="shared" si="80"/>
        <v>39.935999999999993</v>
      </c>
      <c r="I287" s="37">
        <f t="shared" si="80"/>
        <v>162.69500000000002</v>
      </c>
      <c r="J287" s="37">
        <f t="shared" si="80"/>
        <v>272184.51500000001</v>
      </c>
      <c r="K287" s="37">
        <f t="shared" si="80"/>
        <v>0</v>
      </c>
      <c r="L287" s="37">
        <f t="shared" si="80"/>
        <v>272184.51500000001</v>
      </c>
      <c r="M287" s="37">
        <f>L287/I287</f>
        <v>1672.9740618949568</v>
      </c>
      <c r="N287" s="37" t="e">
        <f>M287/$M$1429</f>
        <v>#REF!</v>
      </c>
      <c r="O287" s="37" t="e">
        <f>SUM(O288:O296)</f>
        <v>#REF!</v>
      </c>
      <c r="P287" s="37" t="e">
        <f>SUM(P288:P296)</f>
        <v>#REF!</v>
      </c>
    </row>
    <row r="288" spans="1:16" ht="15.75" hidden="1" x14ac:dyDescent="0.25">
      <c r="A288" s="14" t="s">
        <v>1818</v>
      </c>
      <c r="B288" s="14">
        <v>46</v>
      </c>
      <c r="C288" s="8" t="s">
        <v>1744</v>
      </c>
      <c r="D288" s="28" t="s">
        <v>1989</v>
      </c>
      <c r="E288" s="12" t="s">
        <v>688</v>
      </c>
      <c r="F288" s="1"/>
      <c r="G288" s="1">
        <v>43.594000000000001</v>
      </c>
      <c r="H288" s="1">
        <v>23.785</v>
      </c>
      <c r="I288" s="12">
        <f t="shared" ref="I288:I296" si="81">H288+G288</f>
        <v>67.379000000000005</v>
      </c>
      <c r="J288" s="12">
        <v>144429.443</v>
      </c>
      <c r="K288" s="12"/>
      <c r="L288" s="12">
        <f t="shared" ref="L288:L296" si="82">J288+K288</f>
        <v>144429.443</v>
      </c>
      <c r="M288" s="12">
        <f t="shared" ref="M288:M296" si="83">L288/I288</f>
        <v>2143.5379420887812</v>
      </c>
      <c r="N288" s="12" t="e">
        <f t="shared" ref="N288:N296" si="84">M288/$M$1433</f>
        <v>#REF!</v>
      </c>
      <c r="O288" s="12" t="e">
        <f t="shared" ref="O288:O296" si="85">ROUND(IF(N288&lt;110%,0,(M288-$M$1433*1.1)*0.8)*I288,1)</f>
        <v>#REF!</v>
      </c>
      <c r="P288" s="12" t="e">
        <f t="shared" ref="P288:P296" si="86">ROUND(IF(N288&gt;90%,0,(-M288+$M$1433*0.9)*0.8)*I288,1)</f>
        <v>#REF!</v>
      </c>
    </row>
    <row r="289" spans="1:16" ht="15.75" hidden="1" x14ac:dyDescent="0.25">
      <c r="A289" s="14" t="s">
        <v>1818</v>
      </c>
      <c r="B289" s="14">
        <v>47</v>
      </c>
      <c r="C289" s="8" t="s">
        <v>1744</v>
      </c>
      <c r="D289" s="28" t="s">
        <v>1990</v>
      </c>
      <c r="E289" s="12" t="s">
        <v>689</v>
      </c>
      <c r="F289" s="1"/>
      <c r="G289" s="1">
        <v>2.964</v>
      </c>
      <c r="H289" s="1">
        <v>7.6999999999999999E-2</v>
      </c>
      <c r="I289" s="12">
        <f t="shared" si="81"/>
        <v>3.0409999999999999</v>
      </c>
      <c r="J289" s="12">
        <v>5983.5469999999996</v>
      </c>
      <c r="K289" s="12"/>
      <c r="L289" s="12">
        <f t="shared" si="82"/>
        <v>5983.5469999999996</v>
      </c>
      <c r="M289" s="12">
        <f t="shared" si="83"/>
        <v>1967.6247944755014</v>
      </c>
      <c r="N289" s="12" t="e">
        <f t="shared" si="84"/>
        <v>#REF!</v>
      </c>
      <c r="O289" s="12" t="e">
        <f t="shared" si="85"/>
        <v>#REF!</v>
      </c>
      <c r="P289" s="12" t="e">
        <f t="shared" si="86"/>
        <v>#REF!</v>
      </c>
    </row>
    <row r="290" spans="1:16" ht="15.75" hidden="1" x14ac:dyDescent="0.25">
      <c r="A290" s="14" t="s">
        <v>1818</v>
      </c>
      <c r="B290" s="14">
        <v>48</v>
      </c>
      <c r="C290" s="8" t="s">
        <v>1744</v>
      </c>
      <c r="D290" s="28" t="s">
        <v>1991</v>
      </c>
      <c r="E290" s="12" t="s">
        <v>229</v>
      </c>
      <c r="F290" s="1"/>
      <c r="G290" s="1">
        <v>9.3360000000000003</v>
      </c>
      <c r="H290" s="1">
        <v>7.1849999999999996</v>
      </c>
      <c r="I290" s="12">
        <f t="shared" si="81"/>
        <v>16.521000000000001</v>
      </c>
      <c r="J290" s="12">
        <v>4854.4920000000002</v>
      </c>
      <c r="K290" s="12"/>
      <c r="L290" s="12">
        <f t="shared" si="82"/>
        <v>4854.4920000000002</v>
      </c>
      <c r="M290" s="12">
        <f t="shared" si="83"/>
        <v>293.83766115852552</v>
      </c>
      <c r="N290" s="12" t="e">
        <f t="shared" si="84"/>
        <v>#REF!</v>
      </c>
      <c r="O290" s="12" t="e">
        <f t="shared" si="85"/>
        <v>#REF!</v>
      </c>
      <c r="P290" s="12" t="e">
        <f t="shared" si="86"/>
        <v>#REF!</v>
      </c>
    </row>
    <row r="291" spans="1:16" ht="15.75" hidden="1" x14ac:dyDescent="0.25">
      <c r="A291" s="14" t="s">
        <v>1818</v>
      </c>
      <c r="B291" s="14">
        <v>49</v>
      </c>
      <c r="C291" s="8" t="s">
        <v>1744</v>
      </c>
      <c r="D291" s="28">
        <v>5504000000</v>
      </c>
      <c r="E291" s="12" t="s">
        <v>230</v>
      </c>
      <c r="F291" s="1"/>
      <c r="G291" s="1">
        <v>17.47</v>
      </c>
      <c r="H291" s="1">
        <v>3.411</v>
      </c>
      <c r="I291" s="12">
        <f t="shared" si="81"/>
        <v>20.881</v>
      </c>
      <c r="J291" s="12">
        <v>33179.892999999996</v>
      </c>
      <c r="K291" s="12"/>
      <c r="L291" s="12">
        <f t="shared" si="82"/>
        <v>33179.892999999996</v>
      </c>
      <c r="M291" s="12">
        <f t="shared" si="83"/>
        <v>1588.9992337531726</v>
      </c>
      <c r="N291" s="12" t="e">
        <f t="shared" si="84"/>
        <v>#REF!</v>
      </c>
      <c r="O291" s="12" t="e">
        <f t="shared" si="85"/>
        <v>#REF!</v>
      </c>
      <c r="P291" s="12" t="e">
        <f t="shared" si="86"/>
        <v>#REF!</v>
      </c>
    </row>
    <row r="292" spans="1:16" ht="15.75" hidden="1" x14ac:dyDescent="0.25">
      <c r="A292" s="14" t="s">
        <v>1818</v>
      </c>
      <c r="B292" s="14">
        <v>50</v>
      </c>
      <c r="C292" s="8" t="s">
        <v>1744</v>
      </c>
      <c r="D292" s="28">
        <v>5505000000</v>
      </c>
      <c r="E292" s="12" t="s">
        <v>231</v>
      </c>
      <c r="F292" s="1"/>
      <c r="G292" s="1">
        <v>20.890999999999998</v>
      </c>
      <c r="H292" s="1">
        <v>1.1220000000000001</v>
      </c>
      <c r="I292" s="12">
        <f t="shared" si="81"/>
        <v>22.012999999999998</v>
      </c>
      <c r="J292" s="12">
        <v>47533.822999999997</v>
      </c>
      <c r="K292" s="12"/>
      <c r="L292" s="12">
        <f t="shared" si="82"/>
        <v>47533.822999999997</v>
      </c>
      <c r="M292" s="12">
        <f t="shared" si="83"/>
        <v>2159.3523372552581</v>
      </c>
      <c r="N292" s="12" t="e">
        <f t="shared" si="84"/>
        <v>#REF!</v>
      </c>
      <c r="O292" s="12" t="e">
        <f t="shared" si="85"/>
        <v>#REF!</v>
      </c>
      <c r="P292" s="12" t="e">
        <f t="shared" si="86"/>
        <v>#REF!</v>
      </c>
    </row>
    <row r="293" spans="1:16" ht="15.75" hidden="1" x14ac:dyDescent="0.25">
      <c r="A293" s="14" t="s">
        <v>1818</v>
      </c>
      <c r="B293" s="14">
        <v>51</v>
      </c>
      <c r="C293" s="8" t="s">
        <v>1744</v>
      </c>
      <c r="D293" s="28">
        <v>5506000000</v>
      </c>
      <c r="E293" s="12" t="s">
        <v>232</v>
      </c>
      <c r="F293" s="1"/>
      <c r="G293" s="1">
        <v>9.5530000000000008</v>
      </c>
      <c r="H293" s="1">
        <v>2.0739999999999998</v>
      </c>
      <c r="I293" s="12">
        <f t="shared" si="81"/>
        <v>11.627000000000001</v>
      </c>
      <c r="J293" s="12">
        <v>24785.245999999999</v>
      </c>
      <c r="K293" s="12"/>
      <c r="L293" s="12">
        <f t="shared" si="82"/>
        <v>24785.245999999999</v>
      </c>
      <c r="M293" s="12">
        <f t="shared" si="83"/>
        <v>2131.697428399415</v>
      </c>
      <c r="N293" s="12" t="e">
        <f t="shared" si="84"/>
        <v>#REF!</v>
      </c>
      <c r="O293" s="12" t="e">
        <f t="shared" si="85"/>
        <v>#REF!</v>
      </c>
      <c r="P293" s="12" t="e">
        <f t="shared" si="86"/>
        <v>#REF!</v>
      </c>
    </row>
    <row r="294" spans="1:16" ht="15.75" hidden="1" x14ac:dyDescent="0.25">
      <c r="A294" s="14" t="s">
        <v>1818</v>
      </c>
      <c r="B294" s="14">
        <v>52</v>
      </c>
      <c r="C294" s="8" t="s">
        <v>1744</v>
      </c>
      <c r="D294" s="28">
        <v>5507000000</v>
      </c>
      <c r="E294" s="42" t="s">
        <v>523</v>
      </c>
      <c r="F294" s="43"/>
      <c r="G294" s="43">
        <v>13.962</v>
      </c>
      <c r="H294" s="43">
        <v>0.92200000000000004</v>
      </c>
      <c r="I294" s="12">
        <f t="shared" si="81"/>
        <v>14.884</v>
      </c>
      <c r="J294" s="42">
        <v>4247.1689999999999</v>
      </c>
      <c r="K294" s="42"/>
      <c r="L294" s="42">
        <f t="shared" si="82"/>
        <v>4247.1689999999999</v>
      </c>
      <c r="M294" s="42">
        <f t="shared" si="83"/>
        <v>285.35131685030905</v>
      </c>
      <c r="N294" s="12" t="e">
        <f t="shared" si="84"/>
        <v>#REF!</v>
      </c>
      <c r="O294" s="12" t="e">
        <f t="shared" si="85"/>
        <v>#REF!</v>
      </c>
      <c r="P294" s="12" t="e">
        <f t="shared" si="86"/>
        <v>#REF!</v>
      </c>
    </row>
    <row r="295" spans="1:16" ht="15.75" hidden="1" x14ac:dyDescent="0.25">
      <c r="A295" s="49" t="s">
        <v>1818</v>
      </c>
      <c r="B295" s="49">
        <v>53</v>
      </c>
      <c r="C295" s="50" t="s">
        <v>1744</v>
      </c>
      <c r="D295" s="51">
        <v>5508000000</v>
      </c>
      <c r="E295" s="52" t="s">
        <v>690</v>
      </c>
      <c r="F295" s="53"/>
      <c r="G295" s="53">
        <v>2.5760000000000001</v>
      </c>
      <c r="H295" s="53">
        <v>0.16500000000000001</v>
      </c>
      <c r="I295" s="12">
        <f t="shared" si="81"/>
        <v>2.7410000000000001</v>
      </c>
      <c r="J295" s="52">
        <v>2070.4009999999998</v>
      </c>
      <c r="K295" s="52"/>
      <c r="L295" s="52">
        <f t="shared" si="82"/>
        <v>2070.4009999999998</v>
      </c>
      <c r="M295" s="52">
        <f t="shared" si="83"/>
        <v>755.34512951477552</v>
      </c>
      <c r="N295" s="12" t="e">
        <f t="shared" si="84"/>
        <v>#REF!</v>
      </c>
      <c r="O295" s="12" t="e">
        <f t="shared" si="85"/>
        <v>#REF!</v>
      </c>
      <c r="P295" s="12" t="e">
        <f t="shared" si="86"/>
        <v>#REF!</v>
      </c>
    </row>
    <row r="296" spans="1:16" ht="15.75" hidden="1" x14ac:dyDescent="0.25">
      <c r="A296" s="49" t="s">
        <v>1818</v>
      </c>
      <c r="B296" s="49">
        <v>54</v>
      </c>
      <c r="C296" s="50" t="s">
        <v>1744</v>
      </c>
      <c r="D296" s="51" t="s">
        <v>691</v>
      </c>
      <c r="E296" s="52" t="s">
        <v>692</v>
      </c>
      <c r="F296" s="53"/>
      <c r="G296" s="53">
        <v>2.4129999999999998</v>
      </c>
      <c r="H296" s="53">
        <v>1.1950000000000001</v>
      </c>
      <c r="I296" s="12">
        <f t="shared" si="81"/>
        <v>3.6079999999999997</v>
      </c>
      <c r="J296" s="52">
        <v>5100.5010000000002</v>
      </c>
      <c r="K296" s="52"/>
      <c r="L296" s="52">
        <f t="shared" si="82"/>
        <v>5100.5010000000002</v>
      </c>
      <c r="M296" s="52">
        <f t="shared" si="83"/>
        <v>1413.6643569844791</v>
      </c>
      <c r="N296" s="12" t="e">
        <f t="shared" si="84"/>
        <v>#REF!</v>
      </c>
      <c r="O296" s="12" t="e">
        <f t="shared" si="85"/>
        <v>#REF!</v>
      </c>
      <c r="P296" s="12" t="e">
        <f t="shared" si="86"/>
        <v>#REF!</v>
      </c>
    </row>
    <row r="297" spans="1:16" s="75" customFormat="1" ht="15.75" hidden="1" x14ac:dyDescent="0.25">
      <c r="A297" s="72" t="s">
        <v>1820</v>
      </c>
      <c r="B297" s="72" t="s">
        <v>1126</v>
      </c>
      <c r="C297" s="73" t="s">
        <v>1161</v>
      </c>
      <c r="D297" s="74"/>
      <c r="E297" s="71" t="s">
        <v>1273</v>
      </c>
      <c r="F297" s="76"/>
      <c r="G297" s="71">
        <f t="shared" ref="G297:L297" si="87">G298+G299+G305+G329</f>
        <v>1240.482</v>
      </c>
      <c r="H297" s="71">
        <f t="shared" si="87"/>
        <v>7.1809999999999992</v>
      </c>
      <c r="I297" s="71">
        <f t="shared" si="87"/>
        <v>1247.663</v>
      </c>
      <c r="J297" s="71">
        <f t="shared" si="87"/>
        <v>1651997.9271800001</v>
      </c>
      <c r="K297" s="71">
        <f t="shared" si="87"/>
        <v>-14115.42</v>
      </c>
      <c r="L297" s="71">
        <f t="shared" si="87"/>
        <v>1637882.50718</v>
      </c>
      <c r="M297" s="71">
        <f>L297/I297</f>
        <v>1312.7603424803012</v>
      </c>
      <c r="N297" s="71" t="e">
        <f>M297/$M$1429</f>
        <v>#REF!</v>
      </c>
      <c r="O297" s="71" t="e">
        <f>O298+O299+O305+O329</f>
        <v>#REF!</v>
      </c>
      <c r="P297" s="71" t="e">
        <f>P298+P299+P305+P329</f>
        <v>#REF!</v>
      </c>
    </row>
    <row r="298" spans="1:16" ht="15.75" hidden="1" x14ac:dyDescent="0.25">
      <c r="A298" s="14" t="s">
        <v>1820</v>
      </c>
      <c r="B298" s="14" t="s">
        <v>1126</v>
      </c>
      <c r="C298" s="8" t="s">
        <v>1159</v>
      </c>
      <c r="D298" s="28" t="s">
        <v>1992</v>
      </c>
      <c r="E298" s="12" t="s">
        <v>1160</v>
      </c>
      <c r="F298" s="1"/>
      <c r="G298" s="1">
        <v>0</v>
      </c>
      <c r="H298" s="1">
        <v>0</v>
      </c>
      <c r="I298" s="12">
        <f>H298+G298</f>
        <v>0</v>
      </c>
      <c r="J298" s="12"/>
      <c r="K298" s="12"/>
      <c r="L298" s="12"/>
      <c r="M298" s="12"/>
      <c r="N298" s="12"/>
      <c r="O298" s="12"/>
      <c r="P298" s="12"/>
    </row>
    <row r="299" spans="1:16" ht="15.75" hidden="1" x14ac:dyDescent="0.25">
      <c r="A299" s="15" t="s">
        <v>1820</v>
      </c>
      <c r="B299" s="15" t="s">
        <v>1126</v>
      </c>
      <c r="C299" s="10" t="s">
        <v>1127</v>
      </c>
      <c r="D299" s="29"/>
      <c r="E299" s="37" t="s">
        <v>1128</v>
      </c>
      <c r="F299" s="6"/>
      <c r="G299" s="37">
        <f t="shared" ref="G299:L299" si="88">SUM(G300:G304)</f>
        <v>491.13000000000005</v>
      </c>
      <c r="H299" s="37">
        <f>SUM(H300:H304)</f>
        <v>3.2330000000000001</v>
      </c>
      <c r="I299" s="37">
        <f t="shared" si="88"/>
        <v>494.36299999999994</v>
      </c>
      <c r="J299" s="37">
        <f t="shared" si="88"/>
        <v>898500.80700000003</v>
      </c>
      <c r="K299" s="37">
        <f t="shared" si="88"/>
        <v>0</v>
      </c>
      <c r="L299" s="37">
        <f t="shared" si="88"/>
        <v>898500.80700000003</v>
      </c>
      <c r="M299" s="37">
        <f t="shared" ref="M299:M362" si="89">L299/I299</f>
        <v>1817.4920190224595</v>
      </c>
      <c r="N299" s="37" t="e">
        <f>M299/$M$1429</f>
        <v>#REF!</v>
      </c>
      <c r="O299" s="37" t="e">
        <f>SUM(O300:O304)</f>
        <v>#REF!</v>
      </c>
      <c r="P299" s="37" t="e">
        <f>SUM(P300:P304)</f>
        <v>#REF!</v>
      </c>
    </row>
    <row r="300" spans="1:16" ht="15.75" hidden="1" x14ac:dyDescent="0.25">
      <c r="A300" s="14" t="s">
        <v>1820</v>
      </c>
      <c r="B300" s="14" t="s">
        <v>1811</v>
      </c>
      <c r="C300" s="8" t="s">
        <v>1119</v>
      </c>
      <c r="D300" s="28" t="s">
        <v>1993</v>
      </c>
      <c r="E300" s="12" t="s">
        <v>1250</v>
      </c>
      <c r="F300" s="1"/>
      <c r="G300" s="1">
        <v>267.363</v>
      </c>
      <c r="H300" s="1">
        <v>2.024</v>
      </c>
      <c r="I300" s="12">
        <f>H300+G300</f>
        <v>269.387</v>
      </c>
      <c r="J300" s="12">
        <v>543610.15399999998</v>
      </c>
      <c r="K300" s="12"/>
      <c r="L300" s="12">
        <f>J300+K300</f>
        <v>543610.15399999998</v>
      </c>
      <c r="M300" s="12">
        <f t="shared" si="89"/>
        <v>2017.9524401697186</v>
      </c>
      <c r="N300" s="12" t="e">
        <f>M300/$M$1431</f>
        <v>#REF!</v>
      </c>
      <c r="O300" s="12" t="e">
        <f>ROUND(IF(N300&lt;110%,0,(M300-$M$1431*1.1)*0.8)*I300,1)</f>
        <v>#REF!</v>
      </c>
      <c r="P300" s="12" t="e">
        <f>ROUND(IF(N300&gt;90%,0,(-M300+$M$1431*0.9)*0.8)*I300,1)</f>
        <v>#REF!</v>
      </c>
    </row>
    <row r="301" spans="1:16" ht="15.75" hidden="1" x14ac:dyDescent="0.25">
      <c r="A301" s="14" t="s">
        <v>1820</v>
      </c>
      <c r="B301" s="14" t="s">
        <v>1810</v>
      </c>
      <c r="C301" s="8" t="s">
        <v>1119</v>
      </c>
      <c r="D301" s="28" t="s">
        <v>1994</v>
      </c>
      <c r="E301" s="12" t="s">
        <v>1251</v>
      </c>
      <c r="F301" s="1"/>
      <c r="G301" s="1">
        <v>76.710999999999999</v>
      </c>
      <c r="H301" s="1">
        <v>0.45100000000000001</v>
      </c>
      <c r="I301" s="12">
        <f>H301+G301</f>
        <v>77.161999999999992</v>
      </c>
      <c r="J301" s="12">
        <v>103056.243</v>
      </c>
      <c r="K301" s="12"/>
      <c r="L301" s="12">
        <f>J301+K301</f>
        <v>103056.243</v>
      </c>
      <c r="M301" s="12">
        <f t="shared" si="89"/>
        <v>1335.5828387029887</v>
      </c>
      <c r="N301" s="12" t="e">
        <f>M301/$M$1431</f>
        <v>#REF!</v>
      </c>
      <c r="O301" s="12" t="e">
        <f>ROUND(IF(N301&lt;110%,0,(M301-$M$1431*1.1)*0.8)*I301,1)</f>
        <v>#REF!</v>
      </c>
      <c r="P301" s="12" t="e">
        <f>ROUND(IF(N301&gt;90%,0,(-M301+$M$1431*0.9)*0.8)*I301,1)</f>
        <v>#REF!</v>
      </c>
    </row>
    <row r="302" spans="1:16" ht="15.75" hidden="1" x14ac:dyDescent="0.25">
      <c r="A302" s="14" t="s">
        <v>1820</v>
      </c>
      <c r="B302" s="14" t="s">
        <v>1850</v>
      </c>
      <c r="C302" s="8" t="s">
        <v>1119</v>
      </c>
      <c r="D302" s="28" t="s">
        <v>1995</v>
      </c>
      <c r="E302" s="12" t="s">
        <v>1252</v>
      </c>
      <c r="F302" s="1"/>
      <c r="G302" s="1">
        <v>64.256</v>
      </c>
      <c r="H302" s="1">
        <v>0.45100000000000001</v>
      </c>
      <c r="I302" s="12">
        <f>H302+G302</f>
        <v>64.706999999999994</v>
      </c>
      <c r="J302" s="12">
        <v>95641.115999999995</v>
      </c>
      <c r="K302" s="12"/>
      <c r="L302" s="12">
        <f>J302+K302</f>
        <v>95641.115999999995</v>
      </c>
      <c r="M302" s="12">
        <f t="shared" si="89"/>
        <v>1478.064444341416</v>
      </c>
      <c r="N302" s="12" t="e">
        <f>M302/$M$1431</f>
        <v>#REF!</v>
      </c>
      <c r="O302" s="12" t="e">
        <f>ROUND(IF(N302&lt;110%,0,(M302-$M$1431*1.1)*0.8)*I302,1)</f>
        <v>#REF!</v>
      </c>
      <c r="P302" s="12" t="e">
        <f>ROUND(IF(N302&gt;90%,0,(-M302+$M$1431*0.9)*0.8)*I302,1)</f>
        <v>#REF!</v>
      </c>
    </row>
    <row r="303" spans="1:16" ht="15.75" hidden="1" x14ac:dyDescent="0.25">
      <c r="A303" s="14" t="s">
        <v>1820</v>
      </c>
      <c r="B303" s="14" t="s">
        <v>1855</v>
      </c>
      <c r="C303" s="8" t="s">
        <v>1119</v>
      </c>
      <c r="D303" s="28" t="s">
        <v>1996</v>
      </c>
      <c r="E303" s="12" t="s">
        <v>1253</v>
      </c>
      <c r="F303" s="1"/>
      <c r="G303" s="1">
        <v>56.316000000000003</v>
      </c>
      <c r="H303" s="1">
        <v>0.182</v>
      </c>
      <c r="I303" s="12">
        <f>H303+G303</f>
        <v>56.498000000000005</v>
      </c>
      <c r="J303" s="12">
        <v>119848.549</v>
      </c>
      <c r="K303" s="12"/>
      <c r="L303" s="12">
        <f>J303+K303</f>
        <v>119848.549</v>
      </c>
      <c r="M303" s="12">
        <f t="shared" si="89"/>
        <v>2121.2883464901411</v>
      </c>
      <c r="N303" s="12" t="e">
        <f>M303/$M$1431</f>
        <v>#REF!</v>
      </c>
      <c r="O303" s="12" t="e">
        <f>ROUND(IF(N303&lt;110%,0,(M303-$M$1431*1.1)*0.8)*I303,1)</f>
        <v>#REF!</v>
      </c>
      <c r="P303" s="12" t="e">
        <f>ROUND(IF(N303&gt;90%,0,(-M303+$M$1431*0.9)*0.8)*I303,1)</f>
        <v>#REF!</v>
      </c>
    </row>
    <row r="304" spans="1:16" ht="15.75" hidden="1" x14ac:dyDescent="0.25">
      <c r="A304" s="14" t="s">
        <v>1820</v>
      </c>
      <c r="B304" s="14" t="s">
        <v>1818</v>
      </c>
      <c r="C304" s="8" t="s">
        <v>1119</v>
      </c>
      <c r="D304" s="28" t="s">
        <v>1997</v>
      </c>
      <c r="E304" s="12" t="s">
        <v>1254</v>
      </c>
      <c r="F304" s="1"/>
      <c r="G304" s="1">
        <v>26.484000000000002</v>
      </c>
      <c r="H304" s="1">
        <v>0.125</v>
      </c>
      <c r="I304" s="12">
        <f>H304+G304</f>
        <v>26.609000000000002</v>
      </c>
      <c r="J304" s="12">
        <v>36344.745000000003</v>
      </c>
      <c r="K304" s="12"/>
      <c r="L304" s="12">
        <f>J304+K304</f>
        <v>36344.745000000003</v>
      </c>
      <c r="M304" s="12">
        <f t="shared" si="89"/>
        <v>1365.8816565823593</v>
      </c>
      <c r="N304" s="12" t="e">
        <f>M304/$M$1431</f>
        <v>#REF!</v>
      </c>
      <c r="O304" s="12" t="e">
        <f>ROUND(IF(N304&lt;110%,0,(M304-$M$1431*1.1)*0.8)*I304,1)</f>
        <v>#REF!</v>
      </c>
      <c r="P304" s="12" t="e">
        <f>ROUND(IF(N304&gt;90%,0,(-M304+$M$1431*0.9)*0.8)*I304,1)</f>
        <v>#REF!</v>
      </c>
    </row>
    <row r="305" spans="1:16" ht="15.75" hidden="1" x14ac:dyDescent="0.25">
      <c r="A305" s="15" t="s">
        <v>1820</v>
      </c>
      <c r="B305" s="15" t="s">
        <v>1126</v>
      </c>
      <c r="C305" s="10" t="s">
        <v>1157</v>
      </c>
      <c r="D305" s="29"/>
      <c r="E305" s="37" t="s">
        <v>1158</v>
      </c>
      <c r="F305" s="6"/>
      <c r="G305" s="37">
        <f t="shared" ref="G305:L305" si="90">SUM(G306:G328)</f>
        <v>319.61099999999999</v>
      </c>
      <c r="H305" s="37">
        <f>SUM(H306:H328)</f>
        <v>1.645</v>
      </c>
      <c r="I305" s="37">
        <f t="shared" si="90"/>
        <v>321.25600000000003</v>
      </c>
      <c r="J305" s="37">
        <f t="shared" si="90"/>
        <v>314676.00599999999</v>
      </c>
      <c r="K305" s="37">
        <f t="shared" si="90"/>
        <v>-14115.42</v>
      </c>
      <c r="L305" s="37">
        <f t="shared" si="90"/>
        <v>300560.58599999995</v>
      </c>
      <c r="M305" s="37">
        <f t="shared" si="89"/>
        <v>935.57968100206665</v>
      </c>
      <c r="N305" s="37" t="e">
        <f>M305/$M$1429</f>
        <v>#REF!</v>
      </c>
      <c r="O305" s="37" t="e">
        <f>SUM(O306:O328)</f>
        <v>#REF!</v>
      </c>
      <c r="P305" s="37" t="e">
        <f>SUM(P306:P328)</f>
        <v>#REF!</v>
      </c>
    </row>
    <row r="306" spans="1:16" ht="15.75" hidden="1" x14ac:dyDescent="0.25">
      <c r="A306" s="14" t="s">
        <v>1820</v>
      </c>
      <c r="B306" s="14" t="s">
        <v>1818</v>
      </c>
      <c r="C306" s="8" t="s">
        <v>1129</v>
      </c>
      <c r="D306" s="28" t="s">
        <v>1998</v>
      </c>
      <c r="E306" s="12" t="s">
        <v>1255</v>
      </c>
      <c r="F306" s="1"/>
      <c r="G306" s="1">
        <v>27.588999999999999</v>
      </c>
      <c r="H306" s="1">
        <v>0.14799999999999999</v>
      </c>
      <c r="I306" s="12">
        <f t="shared" ref="I306:I328" si="91">H306+G306</f>
        <v>27.736999999999998</v>
      </c>
      <c r="J306" s="12">
        <f>32091.822-1222.926</f>
        <v>30868.896000000001</v>
      </c>
      <c r="K306" s="12"/>
      <c r="L306" s="12">
        <f t="shared" ref="L306:L318" si="92">J306+K306</f>
        <v>30868.896000000001</v>
      </c>
      <c r="M306" s="12">
        <f t="shared" si="89"/>
        <v>1112.9140137722177</v>
      </c>
      <c r="N306" s="12" t="e">
        <f t="shared" ref="N306:N318" si="93">M306/$M$1432</f>
        <v>#REF!</v>
      </c>
      <c r="O306" s="12" t="e">
        <f t="shared" ref="O306:O318" si="94">ROUND(IF(N306&lt;110%,0,(M306-$M$1432*1.1)*0.8)*I306,1)</f>
        <v>#REF!</v>
      </c>
      <c r="P306" s="12" t="e">
        <f t="shared" ref="P306:P318" si="95">ROUND(IF(N306&gt;90%,0,(-M306+$M$1432*0.9)*0.8)*I306,1)</f>
        <v>#REF!</v>
      </c>
    </row>
    <row r="307" spans="1:16" ht="15.75" hidden="1" x14ac:dyDescent="0.25">
      <c r="A307" s="14" t="s">
        <v>1820</v>
      </c>
      <c r="B307" s="14" t="s">
        <v>1820</v>
      </c>
      <c r="C307" s="8" t="s">
        <v>1129</v>
      </c>
      <c r="D307" s="28" t="s">
        <v>1999</v>
      </c>
      <c r="E307" s="12" t="s">
        <v>1256</v>
      </c>
      <c r="F307" s="1"/>
      <c r="G307" s="1">
        <v>6.4429999999999996</v>
      </c>
      <c r="H307" s="1">
        <v>8.0000000000000002E-3</v>
      </c>
      <c r="I307" s="12">
        <f t="shared" si="91"/>
        <v>6.4509999999999996</v>
      </c>
      <c r="J307" s="12">
        <v>1897.973</v>
      </c>
      <c r="K307" s="12"/>
      <c r="L307" s="12">
        <f t="shared" si="92"/>
        <v>1897.973</v>
      </c>
      <c r="M307" s="12">
        <f t="shared" si="89"/>
        <v>294.21376530770425</v>
      </c>
      <c r="N307" s="12" t="e">
        <f t="shared" si="93"/>
        <v>#REF!</v>
      </c>
      <c r="O307" s="12" t="e">
        <f t="shared" si="94"/>
        <v>#REF!</v>
      </c>
      <c r="P307" s="12" t="e">
        <f t="shared" si="95"/>
        <v>#REF!</v>
      </c>
    </row>
    <row r="308" spans="1:16" ht="15.75" hidden="1" x14ac:dyDescent="0.25">
      <c r="A308" s="14" t="s">
        <v>1820</v>
      </c>
      <c r="B308" s="14" t="s">
        <v>1822</v>
      </c>
      <c r="C308" s="8" t="s">
        <v>1129</v>
      </c>
      <c r="D308" s="28" t="s">
        <v>2000</v>
      </c>
      <c r="E308" s="12" t="s">
        <v>1257</v>
      </c>
      <c r="F308" s="1"/>
      <c r="G308" s="1">
        <v>23.477</v>
      </c>
      <c r="H308" s="1">
        <v>0.13500000000000001</v>
      </c>
      <c r="I308" s="12">
        <f t="shared" si="91"/>
        <v>23.612000000000002</v>
      </c>
      <c r="J308" s="12">
        <v>15752.960999999999</v>
      </c>
      <c r="K308" s="12"/>
      <c r="L308" s="12">
        <f t="shared" si="92"/>
        <v>15752.960999999999</v>
      </c>
      <c r="M308" s="12">
        <f t="shared" si="89"/>
        <v>667.15911400982543</v>
      </c>
      <c r="N308" s="12" t="e">
        <f t="shared" si="93"/>
        <v>#REF!</v>
      </c>
      <c r="O308" s="12" t="e">
        <f t="shared" si="94"/>
        <v>#REF!</v>
      </c>
      <c r="P308" s="12" t="e">
        <f t="shared" si="95"/>
        <v>#REF!</v>
      </c>
    </row>
    <row r="309" spans="1:16" ht="15.75" hidden="1" x14ac:dyDescent="0.25">
      <c r="A309" s="14" t="s">
        <v>1820</v>
      </c>
      <c r="B309" s="14" t="s">
        <v>1824</v>
      </c>
      <c r="C309" s="8" t="s">
        <v>1129</v>
      </c>
      <c r="D309" s="28" t="s">
        <v>2001</v>
      </c>
      <c r="E309" s="12" t="s">
        <v>1258</v>
      </c>
      <c r="F309" s="1"/>
      <c r="G309" s="1">
        <v>1.071</v>
      </c>
      <c r="H309" s="1">
        <v>4.0000000000000001E-3</v>
      </c>
      <c r="I309" s="12">
        <f t="shared" si="91"/>
        <v>1.075</v>
      </c>
      <c r="J309" s="12">
        <v>815.04899999999998</v>
      </c>
      <c r="K309" s="12"/>
      <c r="L309" s="12">
        <f t="shared" si="92"/>
        <v>815.04899999999998</v>
      </c>
      <c r="M309" s="12">
        <f t="shared" si="89"/>
        <v>758.1851162790698</v>
      </c>
      <c r="N309" s="12" t="e">
        <f t="shared" si="93"/>
        <v>#REF!</v>
      </c>
      <c r="O309" s="12" t="e">
        <f t="shared" si="94"/>
        <v>#REF!</v>
      </c>
      <c r="P309" s="12" t="e">
        <f t="shared" si="95"/>
        <v>#REF!</v>
      </c>
    </row>
    <row r="310" spans="1:16" ht="15.75" hidden="1" x14ac:dyDescent="0.25">
      <c r="A310" s="14" t="s">
        <v>1820</v>
      </c>
      <c r="B310" s="14" t="s">
        <v>1826</v>
      </c>
      <c r="C310" s="8" t="s">
        <v>1129</v>
      </c>
      <c r="D310" s="28" t="s">
        <v>2002</v>
      </c>
      <c r="E310" s="12" t="s">
        <v>693</v>
      </c>
      <c r="F310" s="1"/>
      <c r="G310" s="1">
        <v>2.33</v>
      </c>
      <c r="H310" s="1">
        <v>4.0000000000000001E-3</v>
      </c>
      <c r="I310" s="12">
        <f t="shared" si="91"/>
        <v>2.3340000000000001</v>
      </c>
      <c r="J310" s="12">
        <v>1790.1220000000001</v>
      </c>
      <c r="K310" s="12"/>
      <c r="L310" s="12">
        <f t="shared" si="92"/>
        <v>1790.1220000000001</v>
      </c>
      <c r="M310" s="12">
        <f t="shared" si="89"/>
        <v>766.97600685518421</v>
      </c>
      <c r="N310" s="12" t="e">
        <f t="shared" si="93"/>
        <v>#REF!</v>
      </c>
      <c r="O310" s="12" t="e">
        <f t="shared" si="94"/>
        <v>#REF!</v>
      </c>
      <c r="P310" s="12" t="e">
        <f t="shared" si="95"/>
        <v>#REF!</v>
      </c>
    </row>
    <row r="311" spans="1:16" ht="15.75" hidden="1" x14ac:dyDescent="0.25">
      <c r="A311" s="14" t="s">
        <v>1820</v>
      </c>
      <c r="B311" s="14">
        <v>10</v>
      </c>
      <c r="C311" s="8" t="s">
        <v>1129</v>
      </c>
      <c r="D311" s="28" t="s">
        <v>2003</v>
      </c>
      <c r="E311" s="12" t="s">
        <v>694</v>
      </c>
      <c r="F311" s="1"/>
      <c r="G311" s="1">
        <v>22.321999999999999</v>
      </c>
      <c r="H311" s="1">
        <v>0.10199999999999999</v>
      </c>
      <c r="I311" s="12">
        <f t="shared" si="91"/>
        <v>22.423999999999999</v>
      </c>
      <c r="J311" s="12">
        <v>18416.099999999999</v>
      </c>
      <c r="K311" s="12"/>
      <c r="L311" s="12">
        <f t="shared" si="92"/>
        <v>18416.099999999999</v>
      </c>
      <c r="M311" s="12">
        <f t="shared" si="89"/>
        <v>821.26739207991432</v>
      </c>
      <c r="N311" s="12" t="e">
        <f t="shared" si="93"/>
        <v>#REF!</v>
      </c>
      <c r="O311" s="12" t="e">
        <f t="shared" si="94"/>
        <v>#REF!</v>
      </c>
      <c r="P311" s="12" t="e">
        <f t="shared" si="95"/>
        <v>#REF!</v>
      </c>
    </row>
    <row r="312" spans="1:16" ht="15.75" hidden="1" x14ac:dyDescent="0.25">
      <c r="A312" s="14" t="s">
        <v>1820</v>
      </c>
      <c r="B312" s="14">
        <v>11</v>
      </c>
      <c r="C312" s="8" t="s">
        <v>1129</v>
      </c>
      <c r="D312" s="28" t="s">
        <v>2004</v>
      </c>
      <c r="E312" s="12" t="s">
        <v>1259</v>
      </c>
      <c r="F312" s="1"/>
      <c r="G312" s="1">
        <v>8.2210000000000001</v>
      </c>
      <c r="H312" s="1">
        <v>8.0000000000000002E-3</v>
      </c>
      <c r="I312" s="12">
        <f t="shared" si="91"/>
        <v>8.2289999999999992</v>
      </c>
      <c r="J312" s="12">
        <f>20295.755-16967.098</f>
        <v>3328.6569999999992</v>
      </c>
      <c r="K312" s="12"/>
      <c r="L312" s="12">
        <f t="shared" si="92"/>
        <v>3328.6569999999992</v>
      </c>
      <c r="M312" s="12">
        <f t="shared" si="89"/>
        <v>404.50322031838613</v>
      </c>
      <c r="N312" s="12" t="e">
        <f t="shared" si="93"/>
        <v>#REF!</v>
      </c>
      <c r="O312" s="12" t="e">
        <f t="shared" si="94"/>
        <v>#REF!</v>
      </c>
      <c r="P312" s="12" t="e">
        <f t="shared" si="95"/>
        <v>#REF!</v>
      </c>
    </row>
    <row r="313" spans="1:16" ht="15.75" hidden="1" x14ac:dyDescent="0.25">
      <c r="A313" s="14" t="s">
        <v>1820</v>
      </c>
      <c r="B313" s="14">
        <v>12</v>
      </c>
      <c r="C313" s="8" t="s">
        <v>1129</v>
      </c>
      <c r="D313" s="28" t="s">
        <v>2005</v>
      </c>
      <c r="E313" s="12" t="s">
        <v>1260</v>
      </c>
      <c r="F313" s="1"/>
      <c r="G313" s="1">
        <v>44.695</v>
      </c>
      <c r="H313" s="1">
        <v>0.14099999999999999</v>
      </c>
      <c r="I313" s="12">
        <f t="shared" si="91"/>
        <v>44.835999999999999</v>
      </c>
      <c r="J313" s="12">
        <f>67088.202-1968.734-15057.395</f>
        <v>50062.073000000004</v>
      </c>
      <c r="K313" s="12"/>
      <c r="L313" s="12">
        <f t="shared" si="92"/>
        <v>50062.073000000004</v>
      </c>
      <c r="M313" s="12">
        <f t="shared" si="89"/>
        <v>1116.5597510928719</v>
      </c>
      <c r="N313" s="12" t="e">
        <f t="shared" si="93"/>
        <v>#REF!</v>
      </c>
      <c r="O313" s="12" t="e">
        <f t="shared" si="94"/>
        <v>#REF!</v>
      </c>
      <c r="P313" s="12" t="e">
        <f t="shared" si="95"/>
        <v>#REF!</v>
      </c>
    </row>
    <row r="314" spans="1:16" ht="15.75" hidden="1" x14ac:dyDescent="0.25">
      <c r="A314" s="14" t="s">
        <v>1820</v>
      </c>
      <c r="B314" s="14">
        <v>13</v>
      </c>
      <c r="C314" s="8" t="s">
        <v>1129</v>
      </c>
      <c r="D314" s="28" t="s">
        <v>2006</v>
      </c>
      <c r="E314" s="12" t="s">
        <v>1261</v>
      </c>
      <c r="F314" s="1"/>
      <c r="G314" s="1">
        <v>17.152000000000001</v>
      </c>
      <c r="H314" s="1">
        <v>8.1000000000000003E-2</v>
      </c>
      <c r="I314" s="12">
        <f t="shared" si="91"/>
        <v>17.233000000000001</v>
      </c>
      <c r="J314" s="12">
        <f>18936.294-4245.203</f>
        <v>14691.091</v>
      </c>
      <c r="K314" s="12"/>
      <c r="L314" s="12">
        <f t="shared" si="92"/>
        <v>14691.091</v>
      </c>
      <c r="M314" s="12">
        <f t="shared" si="89"/>
        <v>852.49759182962919</v>
      </c>
      <c r="N314" s="12" t="e">
        <f t="shared" si="93"/>
        <v>#REF!</v>
      </c>
      <c r="O314" s="12" t="e">
        <f t="shared" si="94"/>
        <v>#REF!</v>
      </c>
      <c r="P314" s="12" t="e">
        <f t="shared" si="95"/>
        <v>#REF!</v>
      </c>
    </row>
    <row r="315" spans="1:16" ht="15.75" hidden="1" x14ac:dyDescent="0.25">
      <c r="A315" s="14" t="s">
        <v>1820</v>
      </c>
      <c r="B315" s="14">
        <v>14</v>
      </c>
      <c r="C315" s="8" t="s">
        <v>1129</v>
      </c>
      <c r="D315" s="28" t="s">
        <v>2007</v>
      </c>
      <c r="E315" s="12" t="s">
        <v>233</v>
      </c>
      <c r="F315" s="1"/>
      <c r="G315" s="1">
        <v>8.4510000000000005</v>
      </c>
      <c r="H315" s="1">
        <v>6.0999999999999999E-2</v>
      </c>
      <c r="I315" s="12">
        <f t="shared" si="91"/>
        <v>8.5120000000000005</v>
      </c>
      <c r="J315" s="12">
        <f>8009.356-1190.998</f>
        <v>6818.3580000000002</v>
      </c>
      <c r="K315" s="12"/>
      <c r="L315" s="12">
        <f t="shared" si="92"/>
        <v>6818.3580000000002</v>
      </c>
      <c r="M315" s="12">
        <f t="shared" si="89"/>
        <v>801.02890037593988</v>
      </c>
      <c r="N315" s="12" t="e">
        <f t="shared" si="93"/>
        <v>#REF!</v>
      </c>
      <c r="O315" s="12" t="e">
        <f t="shared" si="94"/>
        <v>#REF!</v>
      </c>
      <c r="P315" s="12" t="e">
        <f t="shared" si="95"/>
        <v>#REF!</v>
      </c>
    </row>
    <row r="316" spans="1:16" ht="15.75" hidden="1" x14ac:dyDescent="0.25">
      <c r="A316" s="14" t="s">
        <v>1820</v>
      </c>
      <c r="B316" s="14">
        <v>15</v>
      </c>
      <c r="C316" s="8" t="s">
        <v>1129</v>
      </c>
      <c r="D316" s="28" t="s">
        <v>2008</v>
      </c>
      <c r="E316" s="12" t="s">
        <v>1262</v>
      </c>
      <c r="F316" s="1"/>
      <c r="G316" s="1">
        <v>9.5359999999999996</v>
      </c>
      <c r="H316" s="1">
        <v>1.7000000000000001E-2</v>
      </c>
      <c r="I316" s="12">
        <f t="shared" si="91"/>
        <v>9.552999999999999</v>
      </c>
      <c r="J316" s="12">
        <f>4100.547-1006.816</f>
        <v>3093.7309999999998</v>
      </c>
      <c r="K316" s="12"/>
      <c r="L316" s="12">
        <f t="shared" si="92"/>
        <v>3093.7309999999998</v>
      </c>
      <c r="M316" s="12">
        <f t="shared" si="89"/>
        <v>323.84915733277506</v>
      </c>
      <c r="N316" s="12" t="e">
        <f t="shared" si="93"/>
        <v>#REF!</v>
      </c>
      <c r="O316" s="12" t="e">
        <f t="shared" si="94"/>
        <v>#REF!</v>
      </c>
      <c r="P316" s="12" t="e">
        <f t="shared" si="95"/>
        <v>#REF!</v>
      </c>
    </row>
    <row r="317" spans="1:16" ht="15.75" hidden="1" x14ac:dyDescent="0.25">
      <c r="A317" s="14" t="s">
        <v>1820</v>
      </c>
      <c r="B317" s="14">
        <v>16</v>
      </c>
      <c r="C317" s="8" t="s">
        <v>1129</v>
      </c>
      <c r="D317" s="28" t="s">
        <v>2009</v>
      </c>
      <c r="E317" s="12" t="s">
        <v>1263</v>
      </c>
      <c r="F317" s="1"/>
      <c r="G317" s="1">
        <v>8.2200000000000006</v>
      </c>
      <c r="H317" s="1">
        <v>3.1E-2</v>
      </c>
      <c r="I317" s="12">
        <f t="shared" si="91"/>
        <v>8.2510000000000012</v>
      </c>
      <c r="J317" s="12">
        <f>27836.664-18777.359</f>
        <v>9059.3050000000003</v>
      </c>
      <c r="K317" s="12"/>
      <c r="L317" s="12">
        <f t="shared" si="92"/>
        <v>9059.3050000000003</v>
      </c>
      <c r="M317" s="12">
        <f t="shared" si="89"/>
        <v>1097.9644891528299</v>
      </c>
      <c r="N317" s="12" t="e">
        <f t="shared" si="93"/>
        <v>#REF!</v>
      </c>
      <c r="O317" s="12" t="e">
        <f t="shared" si="94"/>
        <v>#REF!</v>
      </c>
      <c r="P317" s="12" t="e">
        <f t="shared" si="95"/>
        <v>#REF!</v>
      </c>
    </row>
    <row r="318" spans="1:16" ht="15.75" hidden="1" x14ac:dyDescent="0.25">
      <c r="A318" s="14" t="s">
        <v>1820</v>
      </c>
      <c r="B318" s="14">
        <v>17</v>
      </c>
      <c r="C318" s="8" t="s">
        <v>1129</v>
      </c>
      <c r="D318" s="28" t="s">
        <v>2010</v>
      </c>
      <c r="E318" s="12" t="s">
        <v>1264</v>
      </c>
      <c r="F318" s="1"/>
      <c r="G318" s="1">
        <v>14.023</v>
      </c>
      <c r="H318" s="1">
        <v>6.9000000000000006E-2</v>
      </c>
      <c r="I318" s="12">
        <f t="shared" si="91"/>
        <v>14.092000000000001</v>
      </c>
      <c r="J318" s="12">
        <v>18793.921999999999</v>
      </c>
      <c r="K318" s="12"/>
      <c r="L318" s="12">
        <f t="shared" si="92"/>
        <v>18793.921999999999</v>
      </c>
      <c r="M318" s="12">
        <f t="shared" si="89"/>
        <v>1333.6589554357081</v>
      </c>
      <c r="N318" s="12" t="e">
        <f t="shared" si="93"/>
        <v>#REF!</v>
      </c>
      <c r="O318" s="12" t="e">
        <f t="shared" si="94"/>
        <v>#REF!</v>
      </c>
      <c r="P318" s="12" t="e">
        <f t="shared" si="95"/>
        <v>#REF!</v>
      </c>
    </row>
    <row r="319" spans="1:16" ht="15.75" hidden="1" x14ac:dyDescent="0.25">
      <c r="A319" s="16" t="s">
        <v>1820</v>
      </c>
      <c r="B319" s="16">
        <v>18</v>
      </c>
      <c r="C319" s="11" t="s">
        <v>1129</v>
      </c>
      <c r="D319" s="32" t="s">
        <v>2011</v>
      </c>
      <c r="E319" s="47" t="s">
        <v>1265</v>
      </c>
      <c r="F319" s="48"/>
      <c r="G319" s="48">
        <v>0</v>
      </c>
      <c r="H319" s="48">
        <v>0</v>
      </c>
      <c r="I319" s="12">
        <f t="shared" si="91"/>
        <v>0</v>
      </c>
      <c r="J319" s="47">
        <f>-36.854+36.854</f>
        <v>0</v>
      </c>
      <c r="K319" s="47"/>
      <c r="L319" s="47"/>
      <c r="M319" s="47"/>
      <c r="N319" s="12"/>
      <c r="O319" s="12"/>
      <c r="P319" s="12"/>
    </row>
    <row r="320" spans="1:16" ht="15.75" hidden="1" x14ac:dyDescent="0.25">
      <c r="A320" s="14" t="s">
        <v>1820</v>
      </c>
      <c r="B320" s="14">
        <v>19</v>
      </c>
      <c r="C320" s="8" t="s">
        <v>1129</v>
      </c>
      <c r="D320" s="28" t="s">
        <v>2012</v>
      </c>
      <c r="E320" s="12" t="s">
        <v>1266</v>
      </c>
      <c r="F320" s="1"/>
      <c r="G320" s="1">
        <v>21.756</v>
      </c>
      <c r="H320" s="1">
        <v>8.5000000000000006E-2</v>
      </c>
      <c r="I320" s="12">
        <f t="shared" si="91"/>
        <v>21.841000000000001</v>
      </c>
      <c r="J320" s="12">
        <f>25067.865-3913.724-2468.809</f>
        <v>18685.332000000002</v>
      </c>
      <c r="K320" s="12"/>
      <c r="L320" s="12">
        <f t="shared" ref="L320:L328" si="96">J320+K320</f>
        <v>18685.332000000002</v>
      </c>
      <c r="M320" s="12">
        <f t="shared" si="89"/>
        <v>855.51632251270553</v>
      </c>
      <c r="N320" s="12" t="e">
        <f t="shared" ref="N320:N328" si="97">M320/$M$1432</f>
        <v>#REF!</v>
      </c>
      <c r="O320" s="12" t="e">
        <f t="shared" ref="O320:O328" si="98">ROUND(IF(N320&lt;110%,0,(M320-$M$1432*1.1)*0.8)*I320,1)</f>
        <v>#REF!</v>
      </c>
      <c r="P320" s="12" t="e">
        <f t="shared" ref="P320:P328" si="99">ROUND(IF(N320&gt;90%,0,(-M320+$M$1432*0.9)*0.8)*I320,1)</f>
        <v>#REF!</v>
      </c>
    </row>
    <row r="321" spans="1:16" ht="15.75" hidden="1" x14ac:dyDescent="0.25">
      <c r="A321" s="14" t="s">
        <v>1820</v>
      </c>
      <c r="B321" s="14">
        <v>20</v>
      </c>
      <c r="C321" s="8" t="s">
        <v>1129</v>
      </c>
      <c r="D321" s="28" t="s">
        <v>2013</v>
      </c>
      <c r="E321" s="12" t="s">
        <v>1267</v>
      </c>
      <c r="F321" s="1"/>
      <c r="G321" s="1">
        <v>13.18</v>
      </c>
      <c r="H321" s="1">
        <v>5.6000000000000001E-2</v>
      </c>
      <c r="I321" s="12">
        <f t="shared" si="91"/>
        <v>13.235999999999999</v>
      </c>
      <c r="J321" s="12">
        <f>53774.176-33819.957-6874.83</f>
        <v>13079.388999999997</v>
      </c>
      <c r="K321" s="12"/>
      <c r="L321" s="12">
        <f t="shared" si="96"/>
        <v>13079.388999999997</v>
      </c>
      <c r="M321" s="12">
        <f t="shared" si="89"/>
        <v>988.16779993955868</v>
      </c>
      <c r="N321" s="12" t="e">
        <f t="shared" si="97"/>
        <v>#REF!</v>
      </c>
      <c r="O321" s="12" t="e">
        <f t="shared" si="98"/>
        <v>#REF!</v>
      </c>
      <c r="P321" s="12" t="e">
        <f t="shared" si="99"/>
        <v>#REF!</v>
      </c>
    </row>
    <row r="322" spans="1:16" ht="15.75" hidden="1" x14ac:dyDescent="0.25">
      <c r="A322" s="14" t="s">
        <v>1820</v>
      </c>
      <c r="B322" s="14">
        <v>21</v>
      </c>
      <c r="C322" s="8" t="s">
        <v>1129</v>
      </c>
      <c r="D322" s="28" t="s">
        <v>2014</v>
      </c>
      <c r="E322" s="12" t="s">
        <v>1268</v>
      </c>
      <c r="F322" s="1"/>
      <c r="G322" s="1">
        <v>1.619</v>
      </c>
      <c r="H322" s="1">
        <v>7.0000000000000001E-3</v>
      </c>
      <c r="I322" s="12">
        <f t="shared" si="91"/>
        <v>1.6259999999999999</v>
      </c>
      <c r="J322" s="12">
        <v>15253.844999999999</v>
      </c>
      <c r="K322" s="12">
        <f>-23525.7*0.6</f>
        <v>-14115.42</v>
      </c>
      <c r="L322" s="12">
        <f t="shared" si="96"/>
        <v>1138.4249999999993</v>
      </c>
      <c r="M322" s="12">
        <f t="shared" si="89"/>
        <v>700.13837638376344</v>
      </c>
      <c r="N322" s="12" t="e">
        <f t="shared" si="97"/>
        <v>#REF!</v>
      </c>
      <c r="O322" s="12" t="e">
        <f t="shared" si="98"/>
        <v>#REF!</v>
      </c>
      <c r="P322" s="12" t="e">
        <f t="shared" si="99"/>
        <v>#REF!</v>
      </c>
    </row>
    <row r="323" spans="1:16" ht="15.75" hidden="1" x14ac:dyDescent="0.25">
      <c r="A323" s="14" t="s">
        <v>1820</v>
      </c>
      <c r="B323" s="14">
        <v>22</v>
      </c>
      <c r="C323" s="8" t="s">
        <v>1129</v>
      </c>
      <c r="D323" s="28" t="s">
        <v>2015</v>
      </c>
      <c r="E323" s="12" t="s">
        <v>234</v>
      </c>
      <c r="F323" s="1"/>
      <c r="G323" s="1">
        <v>3.593</v>
      </c>
      <c r="H323" s="1">
        <v>1.2999999999999999E-2</v>
      </c>
      <c r="I323" s="12">
        <f t="shared" si="91"/>
        <v>3.6059999999999999</v>
      </c>
      <c r="J323" s="12">
        <f>3844.026-738.522</f>
        <v>3105.5039999999999</v>
      </c>
      <c r="K323" s="12"/>
      <c r="L323" s="12">
        <f t="shared" si="96"/>
        <v>3105.5039999999999</v>
      </c>
      <c r="M323" s="12">
        <f t="shared" si="89"/>
        <v>861.20465890183027</v>
      </c>
      <c r="N323" s="12" t="e">
        <f t="shared" si="97"/>
        <v>#REF!</v>
      </c>
      <c r="O323" s="12" t="e">
        <f t="shared" si="98"/>
        <v>#REF!</v>
      </c>
      <c r="P323" s="12" t="e">
        <f t="shared" si="99"/>
        <v>#REF!</v>
      </c>
    </row>
    <row r="324" spans="1:16" ht="15.75" hidden="1" x14ac:dyDescent="0.25">
      <c r="A324" s="14" t="s">
        <v>1820</v>
      </c>
      <c r="B324" s="14">
        <v>23</v>
      </c>
      <c r="C324" s="8" t="s">
        <v>1129</v>
      </c>
      <c r="D324" s="28" t="s">
        <v>2016</v>
      </c>
      <c r="E324" s="12" t="s">
        <v>1269</v>
      </c>
      <c r="F324" s="1"/>
      <c r="G324" s="1">
        <v>5.9610000000000003</v>
      </c>
      <c r="H324" s="1">
        <v>5.8999999999999997E-2</v>
      </c>
      <c r="I324" s="12">
        <f t="shared" si="91"/>
        <v>6.0200000000000005</v>
      </c>
      <c r="J324" s="12">
        <f>36913.879-29224.758</f>
        <v>7689.1209999999992</v>
      </c>
      <c r="K324" s="12"/>
      <c r="L324" s="12">
        <f t="shared" si="96"/>
        <v>7689.1209999999992</v>
      </c>
      <c r="M324" s="12">
        <f t="shared" si="89"/>
        <v>1277.2626245847173</v>
      </c>
      <c r="N324" s="12" t="e">
        <f t="shared" si="97"/>
        <v>#REF!</v>
      </c>
      <c r="O324" s="12" t="e">
        <f t="shared" si="98"/>
        <v>#REF!</v>
      </c>
      <c r="P324" s="12" t="e">
        <f t="shared" si="99"/>
        <v>#REF!</v>
      </c>
    </row>
    <row r="325" spans="1:16" ht="15.75" hidden="1" x14ac:dyDescent="0.25">
      <c r="A325" s="14" t="s">
        <v>1820</v>
      </c>
      <c r="B325" s="14">
        <v>24</v>
      </c>
      <c r="C325" s="8" t="s">
        <v>1129</v>
      </c>
      <c r="D325" s="28" t="s">
        <v>2017</v>
      </c>
      <c r="E325" s="12" t="s">
        <v>1270</v>
      </c>
      <c r="F325" s="1"/>
      <c r="G325" s="1">
        <v>27.056000000000001</v>
      </c>
      <c r="H325" s="1">
        <v>0.317</v>
      </c>
      <c r="I325" s="12">
        <f t="shared" si="91"/>
        <v>27.373000000000001</v>
      </c>
      <c r="J325" s="12">
        <v>31447.657999999999</v>
      </c>
      <c r="K325" s="12"/>
      <c r="L325" s="12">
        <f t="shared" si="96"/>
        <v>31447.657999999999</v>
      </c>
      <c r="M325" s="12">
        <f t="shared" si="89"/>
        <v>1148.8568297227193</v>
      </c>
      <c r="N325" s="12" t="e">
        <f t="shared" si="97"/>
        <v>#REF!</v>
      </c>
      <c r="O325" s="12" t="e">
        <f t="shared" si="98"/>
        <v>#REF!</v>
      </c>
      <c r="P325" s="12" t="e">
        <f t="shared" si="99"/>
        <v>#REF!</v>
      </c>
    </row>
    <row r="326" spans="1:16" ht="15.75" hidden="1" x14ac:dyDescent="0.25">
      <c r="A326" s="14" t="s">
        <v>1820</v>
      </c>
      <c r="B326" s="14">
        <v>25</v>
      </c>
      <c r="C326" s="8" t="s">
        <v>1129</v>
      </c>
      <c r="D326" s="28" t="s">
        <v>2018</v>
      </c>
      <c r="E326" s="12" t="s">
        <v>695</v>
      </c>
      <c r="F326" s="1"/>
      <c r="G326" s="1">
        <v>0.35199999999999998</v>
      </c>
      <c r="H326" s="1">
        <v>0</v>
      </c>
      <c r="I326" s="12">
        <f t="shared" si="91"/>
        <v>0.35199999999999998</v>
      </c>
      <c r="J326" s="12">
        <f>12681.552-1552.34-1057.586-9044.73-1005.325</f>
        <v>21.571000000000595</v>
      </c>
      <c r="K326" s="12"/>
      <c r="L326" s="12">
        <f t="shared" si="96"/>
        <v>21.571000000000595</v>
      </c>
      <c r="M326" s="12">
        <f t="shared" si="89"/>
        <v>61.281250000001691</v>
      </c>
      <c r="N326" s="12" t="e">
        <f t="shared" si="97"/>
        <v>#REF!</v>
      </c>
      <c r="O326" s="12" t="e">
        <f t="shared" si="98"/>
        <v>#REF!</v>
      </c>
      <c r="P326" s="12" t="e">
        <f t="shared" si="99"/>
        <v>#REF!</v>
      </c>
    </row>
    <row r="327" spans="1:16" ht="15.75" hidden="1" x14ac:dyDescent="0.25">
      <c r="A327" s="14" t="s">
        <v>1820</v>
      </c>
      <c r="B327" s="14">
        <v>26</v>
      </c>
      <c r="C327" s="8" t="s">
        <v>1129</v>
      </c>
      <c r="D327" s="28" t="s">
        <v>2019</v>
      </c>
      <c r="E327" s="12" t="s">
        <v>1271</v>
      </c>
      <c r="F327" s="1"/>
      <c r="G327" s="1">
        <v>20.88</v>
      </c>
      <c r="H327" s="1">
        <v>8.5999999999999993E-2</v>
      </c>
      <c r="I327" s="12">
        <f t="shared" si="91"/>
        <v>20.965999999999998</v>
      </c>
      <c r="J327" s="12">
        <f>16671.933-582.786</f>
        <v>16089.147000000001</v>
      </c>
      <c r="K327" s="12"/>
      <c r="L327" s="12">
        <f t="shared" si="96"/>
        <v>16089.147000000001</v>
      </c>
      <c r="M327" s="12">
        <f t="shared" si="89"/>
        <v>767.39230182199765</v>
      </c>
      <c r="N327" s="12" t="e">
        <f t="shared" si="97"/>
        <v>#REF!</v>
      </c>
      <c r="O327" s="12" t="e">
        <f t="shared" si="98"/>
        <v>#REF!</v>
      </c>
      <c r="P327" s="12" t="e">
        <f t="shared" si="99"/>
        <v>#REF!</v>
      </c>
    </row>
    <row r="328" spans="1:16" ht="15.75" hidden="1" x14ac:dyDescent="0.25">
      <c r="A328" s="14" t="s">
        <v>1820</v>
      </c>
      <c r="B328" s="14">
        <v>27</v>
      </c>
      <c r="C328" s="8" t="s">
        <v>1129</v>
      </c>
      <c r="D328" s="28" t="s">
        <v>2020</v>
      </c>
      <c r="E328" s="12" t="s">
        <v>1272</v>
      </c>
      <c r="F328" s="1"/>
      <c r="G328" s="1">
        <v>31.684000000000001</v>
      </c>
      <c r="H328" s="1">
        <v>0.21299999999999999</v>
      </c>
      <c r="I328" s="12">
        <f t="shared" si="91"/>
        <v>31.897000000000002</v>
      </c>
      <c r="J328" s="12">
        <v>33916.201000000001</v>
      </c>
      <c r="K328" s="12"/>
      <c r="L328" s="12">
        <f t="shared" si="96"/>
        <v>33916.201000000001</v>
      </c>
      <c r="M328" s="12">
        <f t="shared" si="89"/>
        <v>1063.3037903251088</v>
      </c>
      <c r="N328" s="12" t="e">
        <f t="shared" si="97"/>
        <v>#REF!</v>
      </c>
      <c r="O328" s="12" t="e">
        <f t="shared" si="98"/>
        <v>#REF!</v>
      </c>
      <c r="P328" s="12" t="e">
        <f t="shared" si="99"/>
        <v>#REF!</v>
      </c>
    </row>
    <row r="329" spans="1:16" ht="15.75" hidden="1" x14ac:dyDescent="0.25">
      <c r="A329" s="15" t="s">
        <v>1820</v>
      </c>
      <c r="B329" s="15" t="s">
        <v>1126</v>
      </c>
      <c r="C329" s="10" t="s">
        <v>1743</v>
      </c>
      <c r="D329" s="29"/>
      <c r="E329" s="37" t="s">
        <v>1747</v>
      </c>
      <c r="F329" s="6"/>
      <c r="G329" s="37">
        <f t="shared" ref="G329:L329" si="100">SUM(G330:G374)</f>
        <v>429.7410000000001</v>
      </c>
      <c r="H329" s="37">
        <f t="shared" si="100"/>
        <v>2.302999999999999</v>
      </c>
      <c r="I329" s="37">
        <f t="shared" si="100"/>
        <v>432.04399999999998</v>
      </c>
      <c r="J329" s="37">
        <f t="shared" si="100"/>
        <v>438821.11418000009</v>
      </c>
      <c r="K329" s="37">
        <f t="shared" si="100"/>
        <v>0</v>
      </c>
      <c r="L329" s="37">
        <f t="shared" si="100"/>
        <v>438821.11418000009</v>
      </c>
      <c r="M329" s="37">
        <f t="shared" si="89"/>
        <v>1015.686166640435</v>
      </c>
      <c r="N329" s="37" t="e">
        <f>M329/$M$1429</f>
        <v>#REF!</v>
      </c>
      <c r="O329" s="37" t="e">
        <f>SUM(O330:O374)</f>
        <v>#REF!</v>
      </c>
      <c r="P329" s="37" t="e">
        <f>SUM(P330:P374)</f>
        <v>#REF!</v>
      </c>
    </row>
    <row r="330" spans="1:16" ht="15.75" hidden="1" x14ac:dyDescent="0.25">
      <c r="A330" s="14" t="s">
        <v>1820</v>
      </c>
      <c r="B330" s="14">
        <v>28</v>
      </c>
      <c r="C330" s="8" t="s">
        <v>1744</v>
      </c>
      <c r="D330" s="28" t="s">
        <v>2021</v>
      </c>
      <c r="E330" s="12" t="s">
        <v>2603</v>
      </c>
      <c r="F330" s="1"/>
      <c r="G330" s="1">
        <v>2.5009999999999999</v>
      </c>
      <c r="H330" s="1">
        <v>3.9E-2</v>
      </c>
      <c r="I330" s="12">
        <f t="shared" ref="I330:I374" si="101">H330+G330</f>
        <v>2.54</v>
      </c>
      <c r="J330" s="12">
        <v>2196.8969999999999</v>
      </c>
      <c r="K330" s="12"/>
      <c r="L330" s="12">
        <f t="shared" ref="L330:L374" si="102">J330+K330</f>
        <v>2196.8969999999999</v>
      </c>
      <c r="M330" s="12">
        <f t="shared" si="89"/>
        <v>864.92007874015746</v>
      </c>
      <c r="N330" s="12" t="e">
        <f t="shared" ref="N330:N374" si="103">M330/$M$1433</f>
        <v>#REF!</v>
      </c>
      <c r="O330" s="12" t="e">
        <f t="shared" ref="O330:O374" si="104">ROUND(IF(N330&lt;110%,0,(M330-$M$1433*1.1)*0.8)*I330,1)</f>
        <v>#REF!</v>
      </c>
      <c r="P330" s="12" t="e">
        <f t="shared" ref="P330:P374" si="105">ROUND(IF(N330&gt;90%,0,(-M330+$M$1433*0.9)*0.8)*I330,1)</f>
        <v>#REF!</v>
      </c>
    </row>
    <row r="331" spans="1:16" ht="15.75" hidden="1" x14ac:dyDescent="0.25">
      <c r="A331" s="14" t="s">
        <v>1820</v>
      </c>
      <c r="B331" s="14">
        <v>29</v>
      </c>
      <c r="C331" s="8" t="s">
        <v>1744</v>
      </c>
      <c r="D331" s="28" t="s">
        <v>2022</v>
      </c>
      <c r="E331" s="12" t="s">
        <v>2604</v>
      </c>
      <c r="F331" s="1"/>
      <c r="G331" s="1">
        <v>2.9390000000000001</v>
      </c>
      <c r="H331" s="1">
        <v>2.5000000000000001E-2</v>
      </c>
      <c r="I331" s="12">
        <f t="shared" si="101"/>
        <v>2.964</v>
      </c>
      <c r="J331" s="12">
        <v>2455.058</v>
      </c>
      <c r="K331" s="12"/>
      <c r="L331" s="12">
        <f t="shared" si="102"/>
        <v>2455.058</v>
      </c>
      <c r="M331" s="12">
        <f t="shared" si="89"/>
        <v>828.29217273954112</v>
      </c>
      <c r="N331" s="12" t="e">
        <f t="shared" si="103"/>
        <v>#REF!</v>
      </c>
      <c r="O331" s="12" t="e">
        <f t="shared" si="104"/>
        <v>#REF!</v>
      </c>
      <c r="P331" s="12" t="e">
        <f t="shared" si="105"/>
        <v>#REF!</v>
      </c>
    </row>
    <row r="332" spans="1:16" ht="15.75" hidden="1" x14ac:dyDescent="0.25">
      <c r="A332" s="14" t="s">
        <v>1820</v>
      </c>
      <c r="B332" s="14">
        <v>30</v>
      </c>
      <c r="C332" s="8" t="s">
        <v>1744</v>
      </c>
      <c r="D332" s="28" t="s">
        <v>2023</v>
      </c>
      <c r="E332" s="12" t="s">
        <v>2605</v>
      </c>
      <c r="F332" s="1"/>
      <c r="G332" s="1">
        <v>4.0170000000000003</v>
      </c>
      <c r="H332" s="1">
        <v>0.01</v>
      </c>
      <c r="I332" s="12">
        <f t="shared" si="101"/>
        <v>4.0270000000000001</v>
      </c>
      <c r="J332" s="12">
        <v>1897.547</v>
      </c>
      <c r="K332" s="12"/>
      <c r="L332" s="12">
        <f t="shared" si="102"/>
        <v>1897.547</v>
      </c>
      <c r="M332" s="12">
        <f t="shared" si="89"/>
        <v>471.20610876583061</v>
      </c>
      <c r="N332" s="12" t="e">
        <f t="shared" si="103"/>
        <v>#REF!</v>
      </c>
      <c r="O332" s="12" t="e">
        <f t="shared" si="104"/>
        <v>#REF!</v>
      </c>
      <c r="P332" s="12" t="e">
        <f t="shared" si="105"/>
        <v>#REF!</v>
      </c>
    </row>
    <row r="333" spans="1:16" ht="15.75" hidden="1" x14ac:dyDescent="0.25">
      <c r="A333" s="14" t="s">
        <v>1820</v>
      </c>
      <c r="B333" s="14">
        <v>31</v>
      </c>
      <c r="C333" s="8" t="s">
        <v>1744</v>
      </c>
      <c r="D333" s="28" t="s">
        <v>2024</v>
      </c>
      <c r="E333" s="12" t="s">
        <v>1036</v>
      </c>
      <c r="F333" s="1"/>
      <c r="G333" s="1">
        <v>7.508</v>
      </c>
      <c r="H333" s="1">
        <v>2.8000000000000001E-2</v>
      </c>
      <c r="I333" s="12">
        <f t="shared" si="101"/>
        <v>7.5359999999999996</v>
      </c>
      <c r="J333" s="12">
        <f>12251.00418+4245.203</f>
        <v>16496.207180000001</v>
      </c>
      <c r="K333" s="12"/>
      <c r="L333" s="12">
        <f t="shared" si="102"/>
        <v>16496.207180000001</v>
      </c>
      <c r="M333" s="12">
        <f t="shared" si="89"/>
        <v>2188.9871523354568</v>
      </c>
      <c r="N333" s="12" t="e">
        <f t="shared" si="103"/>
        <v>#REF!</v>
      </c>
      <c r="O333" s="12" t="e">
        <f t="shared" si="104"/>
        <v>#REF!</v>
      </c>
      <c r="P333" s="12" t="e">
        <f t="shared" si="105"/>
        <v>#REF!</v>
      </c>
    </row>
    <row r="334" spans="1:16" ht="15.75" hidden="1" x14ac:dyDescent="0.25">
      <c r="A334" s="14" t="s">
        <v>1820</v>
      </c>
      <c r="B334" s="14">
        <v>32</v>
      </c>
      <c r="C334" s="8" t="s">
        <v>1744</v>
      </c>
      <c r="D334" s="28" t="s">
        <v>2025</v>
      </c>
      <c r="E334" s="12" t="s">
        <v>1748</v>
      </c>
      <c r="F334" s="1"/>
      <c r="G334" s="1">
        <v>9.4459999999999997</v>
      </c>
      <c r="H334" s="1">
        <v>3.6999999999999998E-2</v>
      </c>
      <c r="I334" s="12">
        <f t="shared" si="101"/>
        <v>9.4830000000000005</v>
      </c>
      <c r="J334" s="12">
        <v>9434.5949999999993</v>
      </c>
      <c r="K334" s="12"/>
      <c r="L334" s="12">
        <f t="shared" si="102"/>
        <v>9434.5949999999993</v>
      </c>
      <c r="M334" s="12">
        <f t="shared" si="89"/>
        <v>994.8956026573868</v>
      </c>
      <c r="N334" s="12" t="e">
        <f t="shared" si="103"/>
        <v>#REF!</v>
      </c>
      <c r="O334" s="12" t="e">
        <f t="shared" si="104"/>
        <v>#REF!</v>
      </c>
      <c r="P334" s="12" t="e">
        <f t="shared" si="105"/>
        <v>#REF!</v>
      </c>
    </row>
    <row r="335" spans="1:16" ht="15.75" hidden="1" x14ac:dyDescent="0.25">
      <c r="A335" s="14" t="s">
        <v>1820</v>
      </c>
      <c r="B335" s="14">
        <v>33</v>
      </c>
      <c r="C335" s="8" t="s">
        <v>1744</v>
      </c>
      <c r="D335" s="28" t="s">
        <v>2606</v>
      </c>
      <c r="E335" s="12" t="s">
        <v>1037</v>
      </c>
      <c r="F335" s="1"/>
      <c r="G335" s="1">
        <v>8.6720000000000006</v>
      </c>
      <c r="H335" s="1">
        <v>1.7999999999999999E-2</v>
      </c>
      <c r="I335" s="12">
        <f t="shared" si="101"/>
        <v>8.6900000000000013</v>
      </c>
      <c r="J335" s="12">
        <v>4815.9120000000003</v>
      </c>
      <c r="K335" s="12"/>
      <c r="L335" s="12">
        <f t="shared" si="102"/>
        <v>4815.9120000000003</v>
      </c>
      <c r="M335" s="12">
        <f t="shared" si="89"/>
        <v>554.19010356731872</v>
      </c>
      <c r="N335" s="12" t="e">
        <f t="shared" si="103"/>
        <v>#REF!</v>
      </c>
      <c r="O335" s="12" t="e">
        <f t="shared" si="104"/>
        <v>#REF!</v>
      </c>
      <c r="P335" s="12" t="e">
        <f t="shared" si="105"/>
        <v>#REF!</v>
      </c>
    </row>
    <row r="336" spans="1:16" ht="15.75" hidden="1" x14ac:dyDescent="0.25">
      <c r="A336" s="14" t="s">
        <v>1820</v>
      </c>
      <c r="B336" s="14">
        <v>34</v>
      </c>
      <c r="C336" s="8" t="s">
        <v>1744</v>
      </c>
      <c r="D336" s="28" t="s">
        <v>2607</v>
      </c>
      <c r="E336" s="12" t="s">
        <v>1749</v>
      </c>
      <c r="F336" s="1"/>
      <c r="G336" s="1">
        <v>3.6509999999999998</v>
      </c>
      <c r="H336" s="1">
        <v>1.0999999999999999E-2</v>
      </c>
      <c r="I336" s="12">
        <f t="shared" si="101"/>
        <v>3.6619999999999999</v>
      </c>
      <c r="J336" s="12">
        <v>2024.9549999999999</v>
      </c>
      <c r="K336" s="12"/>
      <c r="L336" s="12">
        <f t="shared" si="102"/>
        <v>2024.9549999999999</v>
      </c>
      <c r="M336" s="12">
        <f t="shared" si="89"/>
        <v>552.96422719825227</v>
      </c>
      <c r="N336" s="12" t="e">
        <f t="shared" si="103"/>
        <v>#REF!</v>
      </c>
      <c r="O336" s="12" t="e">
        <f t="shared" si="104"/>
        <v>#REF!</v>
      </c>
      <c r="P336" s="12" t="e">
        <f t="shared" si="105"/>
        <v>#REF!</v>
      </c>
    </row>
    <row r="337" spans="1:16" ht="15.75" hidden="1" x14ac:dyDescent="0.25">
      <c r="A337" s="14" t="s">
        <v>1820</v>
      </c>
      <c r="B337" s="14">
        <v>35</v>
      </c>
      <c r="C337" s="8" t="s">
        <v>1744</v>
      </c>
      <c r="D337" s="28" t="s">
        <v>2608</v>
      </c>
      <c r="E337" s="12" t="s">
        <v>2609</v>
      </c>
      <c r="F337" s="1"/>
      <c r="G337" s="1">
        <v>6.6740000000000004</v>
      </c>
      <c r="H337" s="1">
        <v>2.5000000000000001E-2</v>
      </c>
      <c r="I337" s="12">
        <f t="shared" si="101"/>
        <v>6.6990000000000007</v>
      </c>
      <c r="J337" s="12">
        <v>7154.201</v>
      </c>
      <c r="K337" s="12"/>
      <c r="L337" s="12">
        <f t="shared" si="102"/>
        <v>7154.201</v>
      </c>
      <c r="M337" s="12">
        <f t="shared" si="89"/>
        <v>1067.9505896402447</v>
      </c>
      <c r="N337" s="12" t="e">
        <f t="shared" si="103"/>
        <v>#REF!</v>
      </c>
      <c r="O337" s="12" t="e">
        <f t="shared" si="104"/>
        <v>#REF!</v>
      </c>
      <c r="P337" s="12" t="e">
        <f t="shared" si="105"/>
        <v>#REF!</v>
      </c>
    </row>
    <row r="338" spans="1:16" ht="15.75" hidden="1" x14ac:dyDescent="0.25">
      <c r="A338" s="14" t="s">
        <v>1820</v>
      </c>
      <c r="B338" s="14">
        <v>36</v>
      </c>
      <c r="C338" s="8" t="s">
        <v>1744</v>
      </c>
      <c r="D338" s="28" t="s">
        <v>2610</v>
      </c>
      <c r="E338" s="12" t="s">
        <v>1750</v>
      </c>
      <c r="F338" s="1"/>
      <c r="G338" s="1">
        <v>5.7720000000000002</v>
      </c>
      <c r="H338" s="1">
        <v>2.5999999999999999E-2</v>
      </c>
      <c r="I338" s="12">
        <f t="shared" si="101"/>
        <v>5.798</v>
      </c>
      <c r="J338" s="12">
        <v>4724.2489999999998</v>
      </c>
      <c r="K338" s="12"/>
      <c r="L338" s="12">
        <f t="shared" si="102"/>
        <v>4724.2489999999998</v>
      </c>
      <c r="M338" s="12">
        <f t="shared" si="89"/>
        <v>814.80665746809245</v>
      </c>
      <c r="N338" s="12" t="e">
        <f t="shared" si="103"/>
        <v>#REF!</v>
      </c>
      <c r="O338" s="12" t="e">
        <f t="shared" si="104"/>
        <v>#REF!</v>
      </c>
      <c r="P338" s="12" t="e">
        <f t="shared" si="105"/>
        <v>#REF!</v>
      </c>
    </row>
    <row r="339" spans="1:16" ht="18.75" hidden="1" x14ac:dyDescent="0.25">
      <c r="A339" s="22" t="s">
        <v>1820</v>
      </c>
      <c r="B339" s="23">
        <v>37</v>
      </c>
      <c r="C339" s="24" t="s">
        <v>1744</v>
      </c>
      <c r="D339" s="33" t="s">
        <v>90</v>
      </c>
      <c r="E339" s="12" t="s">
        <v>91</v>
      </c>
      <c r="F339" s="1"/>
      <c r="G339" s="1">
        <v>5.08</v>
      </c>
      <c r="H339" s="1">
        <v>1.4E-2</v>
      </c>
      <c r="I339" s="12">
        <f t="shared" si="101"/>
        <v>5.0940000000000003</v>
      </c>
      <c r="J339" s="12">
        <f>3226.082+738.522</f>
        <v>3964.6039999999998</v>
      </c>
      <c r="K339" s="12"/>
      <c r="L339" s="12">
        <f t="shared" si="102"/>
        <v>3964.6039999999998</v>
      </c>
      <c r="M339" s="12">
        <f t="shared" si="89"/>
        <v>778.28896741264225</v>
      </c>
      <c r="N339" s="12" t="e">
        <f t="shared" si="103"/>
        <v>#REF!</v>
      </c>
      <c r="O339" s="12" t="e">
        <f t="shared" si="104"/>
        <v>#REF!</v>
      </c>
      <c r="P339" s="12" t="e">
        <f t="shared" si="105"/>
        <v>#REF!</v>
      </c>
    </row>
    <row r="340" spans="1:16" ht="18.75" hidden="1" x14ac:dyDescent="0.25">
      <c r="A340" s="22" t="s">
        <v>1820</v>
      </c>
      <c r="B340" s="23">
        <v>38</v>
      </c>
      <c r="C340" s="24" t="s">
        <v>1744</v>
      </c>
      <c r="D340" s="33" t="s">
        <v>235</v>
      </c>
      <c r="E340" s="12" t="s">
        <v>236</v>
      </c>
      <c r="F340" s="1"/>
      <c r="G340" s="1">
        <v>23.189</v>
      </c>
      <c r="H340" s="1">
        <v>8.4000000000000005E-2</v>
      </c>
      <c r="I340" s="12">
        <f t="shared" si="101"/>
        <v>23.273</v>
      </c>
      <c r="J340" s="12">
        <v>17178.277999999998</v>
      </c>
      <c r="K340" s="12"/>
      <c r="L340" s="12">
        <f t="shared" si="102"/>
        <v>17178.277999999998</v>
      </c>
      <c r="M340" s="12">
        <f t="shared" si="89"/>
        <v>738.12048296309024</v>
      </c>
      <c r="N340" s="12" t="e">
        <f t="shared" si="103"/>
        <v>#REF!</v>
      </c>
      <c r="O340" s="12" t="e">
        <f t="shared" si="104"/>
        <v>#REF!</v>
      </c>
      <c r="P340" s="12" t="e">
        <f t="shared" si="105"/>
        <v>#REF!</v>
      </c>
    </row>
    <row r="341" spans="1:16" ht="18.75" hidden="1" x14ac:dyDescent="0.25">
      <c r="A341" s="22" t="s">
        <v>1820</v>
      </c>
      <c r="B341" s="23">
        <v>39</v>
      </c>
      <c r="C341" s="24" t="s">
        <v>1744</v>
      </c>
      <c r="D341" s="33" t="s">
        <v>237</v>
      </c>
      <c r="E341" s="12" t="s">
        <v>238</v>
      </c>
      <c r="F341" s="1"/>
      <c r="G341" s="1">
        <v>29.591999999999999</v>
      </c>
      <c r="H341" s="1">
        <v>0.48</v>
      </c>
      <c r="I341" s="12">
        <f t="shared" si="101"/>
        <v>30.071999999999999</v>
      </c>
      <c r="J341" s="12">
        <v>22892.06</v>
      </c>
      <c r="K341" s="12"/>
      <c r="L341" s="12">
        <f t="shared" si="102"/>
        <v>22892.06</v>
      </c>
      <c r="M341" s="12">
        <f t="shared" si="89"/>
        <v>761.24168661878161</v>
      </c>
      <c r="N341" s="12" t="e">
        <f t="shared" si="103"/>
        <v>#REF!</v>
      </c>
      <c r="O341" s="12" t="e">
        <f t="shared" si="104"/>
        <v>#REF!</v>
      </c>
      <c r="P341" s="12" t="e">
        <f t="shared" si="105"/>
        <v>#REF!</v>
      </c>
    </row>
    <row r="342" spans="1:16" ht="18.75" hidden="1" x14ac:dyDescent="0.25">
      <c r="A342" s="22" t="s">
        <v>1820</v>
      </c>
      <c r="B342" s="23">
        <v>40</v>
      </c>
      <c r="C342" s="24" t="s">
        <v>1744</v>
      </c>
      <c r="D342" s="33" t="s">
        <v>239</v>
      </c>
      <c r="E342" s="12" t="s">
        <v>240</v>
      </c>
      <c r="F342" s="1"/>
      <c r="G342" s="1">
        <v>33.981999999999999</v>
      </c>
      <c r="H342" s="1">
        <v>0.121</v>
      </c>
      <c r="I342" s="12">
        <f t="shared" si="101"/>
        <v>34.103000000000002</v>
      </c>
      <c r="J342" s="12">
        <v>20680.182000000001</v>
      </c>
      <c r="K342" s="12"/>
      <c r="L342" s="12">
        <f t="shared" si="102"/>
        <v>20680.182000000001</v>
      </c>
      <c r="M342" s="12">
        <f t="shared" si="89"/>
        <v>606.40360085622967</v>
      </c>
      <c r="N342" s="12" t="e">
        <f t="shared" si="103"/>
        <v>#REF!</v>
      </c>
      <c r="O342" s="12" t="e">
        <f t="shared" si="104"/>
        <v>#REF!</v>
      </c>
      <c r="P342" s="12" t="e">
        <f t="shared" si="105"/>
        <v>#REF!</v>
      </c>
    </row>
    <row r="343" spans="1:16" ht="18.75" hidden="1" x14ac:dyDescent="0.25">
      <c r="A343" s="22" t="s">
        <v>1820</v>
      </c>
      <c r="B343" s="23">
        <v>41</v>
      </c>
      <c r="C343" s="24" t="s">
        <v>1744</v>
      </c>
      <c r="D343" s="33" t="s">
        <v>241</v>
      </c>
      <c r="E343" s="12" t="s">
        <v>242</v>
      </c>
      <c r="F343" s="1"/>
      <c r="G343" s="1">
        <v>14.038</v>
      </c>
      <c r="H343" s="1">
        <v>0.16800000000000001</v>
      </c>
      <c r="I343" s="12">
        <f t="shared" si="101"/>
        <v>14.206</v>
      </c>
      <c r="J343" s="12">
        <v>11988.751</v>
      </c>
      <c r="K343" s="12"/>
      <c r="L343" s="12">
        <f t="shared" si="102"/>
        <v>11988.751</v>
      </c>
      <c r="M343" s="12">
        <f t="shared" si="89"/>
        <v>843.92165282275096</v>
      </c>
      <c r="N343" s="12" t="e">
        <f t="shared" si="103"/>
        <v>#REF!</v>
      </c>
      <c r="O343" s="12" t="e">
        <f t="shared" si="104"/>
        <v>#REF!</v>
      </c>
      <c r="P343" s="12" t="e">
        <f t="shared" si="105"/>
        <v>#REF!</v>
      </c>
    </row>
    <row r="344" spans="1:16" ht="18.75" hidden="1" x14ac:dyDescent="0.25">
      <c r="A344" s="22" t="s">
        <v>1820</v>
      </c>
      <c r="B344" s="23">
        <v>42</v>
      </c>
      <c r="C344" s="24" t="s">
        <v>1744</v>
      </c>
      <c r="D344" s="33" t="s">
        <v>243</v>
      </c>
      <c r="E344" s="12" t="s">
        <v>244</v>
      </c>
      <c r="F344" s="1"/>
      <c r="G344" s="1">
        <v>7.6349999999999998</v>
      </c>
      <c r="H344" s="1">
        <v>0.03</v>
      </c>
      <c r="I344" s="12">
        <f t="shared" si="101"/>
        <v>7.665</v>
      </c>
      <c r="J344" s="12">
        <v>5069.8789999999999</v>
      </c>
      <c r="K344" s="12"/>
      <c r="L344" s="12">
        <f t="shared" si="102"/>
        <v>5069.8789999999999</v>
      </c>
      <c r="M344" s="12">
        <f t="shared" si="89"/>
        <v>661.43235485975208</v>
      </c>
      <c r="N344" s="12" t="e">
        <f t="shared" si="103"/>
        <v>#REF!</v>
      </c>
      <c r="O344" s="12" t="e">
        <f t="shared" si="104"/>
        <v>#REF!</v>
      </c>
      <c r="P344" s="12" t="e">
        <f t="shared" si="105"/>
        <v>#REF!</v>
      </c>
    </row>
    <row r="345" spans="1:16" ht="18.75" hidden="1" x14ac:dyDescent="0.25">
      <c r="A345" s="22" t="s">
        <v>1820</v>
      </c>
      <c r="B345" s="23">
        <v>43</v>
      </c>
      <c r="C345" s="24" t="s">
        <v>1744</v>
      </c>
      <c r="D345" s="33" t="s">
        <v>245</v>
      </c>
      <c r="E345" s="12" t="s">
        <v>246</v>
      </c>
      <c r="F345" s="1"/>
      <c r="G345" s="1">
        <v>6.3129999999999997</v>
      </c>
      <c r="H345" s="1">
        <v>0.01</v>
      </c>
      <c r="I345" s="12">
        <f t="shared" si="101"/>
        <v>6.3229999999999995</v>
      </c>
      <c r="J345" s="12">
        <v>4565.9470000000001</v>
      </c>
      <c r="K345" s="12"/>
      <c r="L345" s="12">
        <f t="shared" si="102"/>
        <v>4565.9470000000001</v>
      </c>
      <c r="M345" s="12">
        <f t="shared" si="89"/>
        <v>722.1171912067058</v>
      </c>
      <c r="N345" s="12" t="e">
        <f t="shared" si="103"/>
        <v>#REF!</v>
      </c>
      <c r="O345" s="12" t="e">
        <f t="shared" si="104"/>
        <v>#REF!</v>
      </c>
      <c r="P345" s="12" t="e">
        <f t="shared" si="105"/>
        <v>#REF!</v>
      </c>
    </row>
    <row r="346" spans="1:16" ht="18.75" hidden="1" x14ac:dyDescent="0.25">
      <c r="A346" s="22" t="s">
        <v>1820</v>
      </c>
      <c r="B346" s="23">
        <v>44</v>
      </c>
      <c r="C346" s="24" t="s">
        <v>1744</v>
      </c>
      <c r="D346" s="33" t="s">
        <v>247</v>
      </c>
      <c r="E346" s="12" t="s">
        <v>248</v>
      </c>
      <c r="F346" s="1"/>
      <c r="G346" s="1">
        <v>6.9530000000000003</v>
      </c>
      <c r="H346" s="1">
        <v>2.1999999999999999E-2</v>
      </c>
      <c r="I346" s="12">
        <f t="shared" si="101"/>
        <v>6.9750000000000005</v>
      </c>
      <c r="J346" s="12">
        <f>7679.485+1006.816</f>
        <v>8686.3009999999995</v>
      </c>
      <c r="K346" s="12"/>
      <c r="L346" s="12">
        <f t="shared" si="102"/>
        <v>8686.3009999999995</v>
      </c>
      <c r="M346" s="12">
        <f t="shared" si="89"/>
        <v>1245.3478136200715</v>
      </c>
      <c r="N346" s="12" t="e">
        <f t="shared" si="103"/>
        <v>#REF!</v>
      </c>
      <c r="O346" s="12" t="e">
        <f t="shared" si="104"/>
        <v>#REF!</v>
      </c>
      <c r="P346" s="12" t="e">
        <f t="shared" si="105"/>
        <v>#REF!</v>
      </c>
    </row>
    <row r="347" spans="1:16" ht="18.75" hidden="1" x14ac:dyDescent="0.25">
      <c r="A347" s="22" t="s">
        <v>1820</v>
      </c>
      <c r="B347" s="23">
        <v>45</v>
      </c>
      <c r="C347" s="24" t="s">
        <v>1744</v>
      </c>
      <c r="D347" s="33" t="s">
        <v>249</v>
      </c>
      <c r="E347" s="12" t="s">
        <v>250</v>
      </c>
      <c r="F347" s="1"/>
      <c r="G347" s="1">
        <v>6.008</v>
      </c>
      <c r="H347" s="1">
        <v>2.7E-2</v>
      </c>
      <c r="I347" s="12">
        <f t="shared" si="101"/>
        <v>6.0350000000000001</v>
      </c>
      <c r="J347" s="12">
        <v>6683.8159999999998</v>
      </c>
      <c r="K347" s="12"/>
      <c r="L347" s="12">
        <f t="shared" si="102"/>
        <v>6683.8159999999998</v>
      </c>
      <c r="M347" s="12">
        <f t="shared" si="89"/>
        <v>1107.5088649544325</v>
      </c>
      <c r="N347" s="12" t="e">
        <f t="shared" si="103"/>
        <v>#REF!</v>
      </c>
      <c r="O347" s="12" t="e">
        <f t="shared" si="104"/>
        <v>#REF!</v>
      </c>
      <c r="P347" s="12" t="e">
        <f t="shared" si="105"/>
        <v>#REF!</v>
      </c>
    </row>
    <row r="348" spans="1:16" ht="18.75" hidden="1" x14ac:dyDescent="0.25">
      <c r="A348" s="22" t="s">
        <v>1820</v>
      </c>
      <c r="B348" s="23">
        <v>46</v>
      </c>
      <c r="C348" s="24" t="s">
        <v>1744</v>
      </c>
      <c r="D348" s="33" t="s">
        <v>251</v>
      </c>
      <c r="E348" s="12" t="s">
        <v>252</v>
      </c>
      <c r="F348" s="1"/>
      <c r="G348" s="1">
        <v>14.795</v>
      </c>
      <c r="H348" s="1">
        <v>0.06</v>
      </c>
      <c r="I348" s="12">
        <f t="shared" si="101"/>
        <v>14.855</v>
      </c>
      <c r="J348" s="12">
        <v>23006.87</v>
      </c>
      <c r="K348" s="12"/>
      <c r="L348" s="12">
        <f t="shared" si="102"/>
        <v>23006.87</v>
      </c>
      <c r="M348" s="12">
        <f t="shared" si="89"/>
        <v>1548.7627061595422</v>
      </c>
      <c r="N348" s="12" t="e">
        <f t="shared" si="103"/>
        <v>#REF!</v>
      </c>
      <c r="O348" s="12" t="e">
        <f t="shared" si="104"/>
        <v>#REF!</v>
      </c>
      <c r="P348" s="12" t="e">
        <f t="shared" si="105"/>
        <v>#REF!</v>
      </c>
    </row>
    <row r="349" spans="1:16" ht="18.75" hidden="1" x14ac:dyDescent="0.25">
      <c r="A349" s="22" t="s">
        <v>1820</v>
      </c>
      <c r="B349" s="23">
        <v>47</v>
      </c>
      <c r="C349" s="24" t="s">
        <v>1744</v>
      </c>
      <c r="D349" s="33" t="s">
        <v>253</v>
      </c>
      <c r="E349" s="12" t="s">
        <v>254</v>
      </c>
      <c r="F349" s="1"/>
      <c r="G349" s="1">
        <v>16.475000000000001</v>
      </c>
      <c r="H349" s="1">
        <v>0.06</v>
      </c>
      <c r="I349" s="12">
        <f t="shared" si="101"/>
        <v>16.535</v>
      </c>
      <c r="J349" s="12">
        <v>10809.933000000001</v>
      </c>
      <c r="K349" s="12"/>
      <c r="L349" s="12">
        <f t="shared" si="102"/>
        <v>10809.933000000001</v>
      </c>
      <c r="M349" s="12">
        <f t="shared" si="89"/>
        <v>653.76068944662836</v>
      </c>
      <c r="N349" s="12" t="e">
        <f t="shared" si="103"/>
        <v>#REF!</v>
      </c>
      <c r="O349" s="12" t="e">
        <f t="shared" si="104"/>
        <v>#REF!</v>
      </c>
      <c r="P349" s="12" t="e">
        <f t="shared" si="105"/>
        <v>#REF!</v>
      </c>
    </row>
    <row r="350" spans="1:16" ht="18.75" hidden="1" x14ac:dyDescent="0.25">
      <c r="A350" s="22" t="s">
        <v>1820</v>
      </c>
      <c r="B350" s="23">
        <v>48</v>
      </c>
      <c r="C350" s="24" t="s">
        <v>1744</v>
      </c>
      <c r="D350" s="33" t="s">
        <v>255</v>
      </c>
      <c r="E350" s="12" t="s">
        <v>256</v>
      </c>
      <c r="F350" s="1"/>
      <c r="G350" s="1">
        <v>4.7229999999999999</v>
      </c>
      <c r="H350" s="1">
        <v>3.3000000000000002E-2</v>
      </c>
      <c r="I350" s="12">
        <f t="shared" si="101"/>
        <v>4.7560000000000002</v>
      </c>
      <c r="J350" s="12">
        <v>2253.2460000000001</v>
      </c>
      <c r="K350" s="12"/>
      <c r="L350" s="12">
        <f t="shared" si="102"/>
        <v>2253.2460000000001</v>
      </c>
      <c r="M350" s="12">
        <f t="shared" si="89"/>
        <v>473.76913372582004</v>
      </c>
      <c r="N350" s="12" t="e">
        <f t="shared" si="103"/>
        <v>#REF!</v>
      </c>
      <c r="O350" s="12" t="e">
        <f t="shared" si="104"/>
        <v>#REF!</v>
      </c>
      <c r="P350" s="12" t="e">
        <f t="shared" si="105"/>
        <v>#REF!</v>
      </c>
    </row>
    <row r="351" spans="1:16" ht="18.75" hidden="1" x14ac:dyDescent="0.25">
      <c r="A351" s="22" t="s">
        <v>1820</v>
      </c>
      <c r="B351" s="23">
        <v>49</v>
      </c>
      <c r="C351" s="24" t="s">
        <v>1744</v>
      </c>
      <c r="D351" s="33" t="s">
        <v>257</v>
      </c>
      <c r="E351" s="12" t="s">
        <v>258</v>
      </c>
      <c r="F351" s="1"/>
      <c r="G351" s="1">
        <v>3.7229999999999999</v>
      </c>
      <c r="H351" s="1">
        <v>1.2E-2</v>
      </c>
      <c r="I351" s="12">
        <f t="shared" si="101"/>
        <v>3.7349999999999999</v>
      </c>
      <c r="J351" s="12">
        <v>7480.9449999999997</v>
      </c>
      <c r="K351" s="12"/>
      <c r="L351" s="12">
        <f t="shared" si="102"/>
        <v>7480.9449999999997</v>
      </c>
      <c r="M351" s="12">
        <f t="shared" si="89"/>
        <v>2002.9303882195447</v>
      </c>
      <c r="N351" s="12" t="e">
        <f t="shared" si="103"/>
        <v>#REF!</v>
      </c>
      <c r="O351" s="12" t="e">
        <f t="shared" si="104"/>
        <v>#REF!</v>
      </c>
      <c r="P351" s="12" t="e">
        <f t="shared" si="105"/>
        <v>#REF!</v>
      </c>
    </row>
    <row r="352" spans="1:16" ht="18.75" hidden="1" x14ac:dyDescent="0.25">
      <c r="A352" s="22" t="s">
        <v>1820</v>
      </c>
      <c r="B352" s="23">
        <v>50</v>
      </c>
      <c r="C352" s="24" t="s">
        <v>1744</v>
      </c>
      <c r="D352" s="33" t="s">
        <v>259</v>
      </c>
      <c r="E352" s="12" t="s">
        <v>260</v>
      </c>
      <c r="F352" s="1"/>
      <c r="G352" s="1">
        <v>4.4809999999999999</v>
      </c>
      <c r="H352" s="1">
        <v>2.1000000000000001E-2</v>
      </c>
      <c r="I352" s="12">
        <f t="shared" si="101"/>
        <v>4.5019999999999998</v>
      </c>
      <c r="J352" s="12">
        <v>1424.461</v>
      </c>
      <c r="K352" s="12"/>
      <c r="L352" s="12">
        <f t="shared" si="102"/>
        <v>1424.461</v>
      </c>
      <c r="M352" s="12">
        <f t="shared" si="89"/>
        <v>316.4062638827188</v>
      </c>
      <c r="N352" s="12" t="e">
        <f t="shared" si="103"/>
        <v>#REF!</v>
      </c>
      <c r="O352" s="12" t="e">
        <f t="shared" si="104"/>
        <v>#REF!</v>
      </c>
      <c r="P352" s="12" t="e">
        <f t="shared" si="105"/>
        <v>#REF!</v>
      </c>
    </row>
    <row r="353" spans="1:16" ht="18.75" hidden="1" x14ac:dyDescent="0.25">
      <c r="A353" s="22" t="s">
        <v>1820</v>
      </c>
      <c r="B353" s="23">
        <v>51</v>
      </c>
      <c r="C353" s="24" t="s">
        <v>1744</v>
      </c>
      <c r="D353" s="33" t="s">
        <v>261</v>
      </c>
      <c r="E353" s="12" t="s">
        <v>262</v>
      </c>
      <c r="F353" s="1"/>
      <c r="G353" s="1">
        <v>5.9850000000000003</v>
      </c>
      <c r="H353" s="1">
        <v>8.9999999999999993E-3</v>
      </c>
      <c r="I353" s="12">
        <f t="shared" si="101"/>
        <v>5.9940000000000007</v>
      </c>
      <c r="J353" s="12">
        <v>4547.3519999999999</v>
      </c>
      <c r="K353" s="12"/>
      <c r="L353" s="12">
        <f t="shared" si="102"/>
        <v>4547.3519999999999</v>
      </c>
      <c r="M353" s="12">
        <f t="shared" si="89"/>
        <v>758.6506506506505</v>
      </c>
      <c r="N353" s="12" t="e">
        <f t="shared" si="103"/>
        <v>#REF!</v>
      </c>
      <c r="O353" s="12" t="e">
        <f t="shared" si="104"/>
        <v>#REF!</v>
      </c>
      <c r="P353" s="12" t="e">
        <f t="shared" si="105"/>
        <v>#REF!</v>
      </c>
    </row>
    <row r="354" spans="1:16" ht="18.75" hidden="1" x14ac:dyDescent="0.25">
      <c r="A354" s="22" t="s">
        <v>1820</v>
      </c>
      <c r="B354" s="23">
        <v>52</v>
      </c>
      <c r="C354" s="24" t="s">
        <v>1744</v>
      </c>
      <c r="D354" s="33" t="s">
        <v>263</v>
      </c>
      <c r="E354" s="12" t="s">
        <v>264</v>
      </c>
      <c r="F354" s="1"/>
      <c r="G354" s="1">
        <v>3.1960000000000002</v>
      </c>
      <c r="H354" s="1">
        <v>6.0000000000000001E-3</v>
      </c>
      <c r="I354" s="12">
        <f t="shared" si="101"/>
        <v>3.202</v>
      </c>
      <c r="J354" s="12">
        <v>1343.288</v>
      </c>
      <c r="K354" s="12"/>
      <c r="L354" s="12">
        <f t="shared" si="102"/>
        <v>1343.288</v>
      </c>
      <c r="M354" s="12">
        <f t="shared" si="89"/>
        <v>419.5153029356652</v>
      </c>
      <c r="N354" s="12" t="e">
        <f t="shared" si="103"/>
        <v>#REF!</v>
      </c>
      <c r="O354" s="12" t="e">
        <f t="shared" si="104"/>
        <v>#REF!</v>
      </c>
      <c r="P354" s="12" t="e">
        <f t="shared" si="105"/>
        <v>#REF!</v>
      </c>
    </row>
    <row r="355" spans="1:16" ht="18.75" hidden="1" x14ac:dyDescent="0.25">
      <c r="A355" s="22" t="s">
        <v>1820</v>
      </c>
      <c r="B355" s="23">
        <v>53</v>
      </c>
      <c r="C355" s="24" t="s">
        <v>1744</v>
      </c>
      <c r="D355" s="33" t="s">
        <v>265</v>
      </c>
      <c r="E355" s="12" t="s">
        <v>266</v>
      </c>
      <c r="F355" s="1"/>
      <c r="G355" s="1">
        <v>3.0009999999999999</v>
      </c>
      <c r="H355" s="1">
        <v>1.2E-2</v>
      </c>
      <c r="I355" s="12">
        <f t="shared" si="101"/>
        <v>3.0129999999999999</v>
      </c>
      <c r="J355" s="12">
        <v>3100.201</v>
      </c>
      <c r="K355" s="12"/>
      <c r="L355" s="12">
        <f t="shared" si="102"/>
        <v>3100.201</v>
      </c>
      <c r="M355" s="12">
        <f t="shared" si="89"/>
        <v>1028.941586458679</v>
      </c>
      <c r="N355" s="12" t="e">
        <f t="shared" si="103"/>
        <v>#REF!</v>
      </c>
      <c r="O355" s="12" t="e">
        <f t="shared" si="104"/>
        <v>#REF!</v>
      </c>
      <c r="P355" s="12" t="e">
        <f t="shared" si="105"/>
        <v>#REF!</v>
      </c>
    </row>
    <row r="356" spans="1:16" ht="18.75" hidden="1" x14ac:dyDescent="0.25">
      <c r="A356" s="22" t="s">
        <v>1820</v>
      </c>
      <c r="B356" s="23">
        <v>54</v>
      </c>
      <c r="C356" s="24" t="s">
        <v>1744</v>
      </c>
      <c r="D356" s="33" t="s">
        <v>267</v>
      </c>
      <c r="E356" s="12" t="s">
        <v>268</v>
      </c>
      <c r="F356" s="1"/>
      <c r="G356" s="1">
        <v>4.2699999999999996</v>
      </c>
      <c r="H356" s="1">
        <v>0.03</v>
      </c>
      <c r="I356" s="12">
        <f t="shared" si="101"/>
        <v>4.3</v>
      </c>
      <c r="J356" s="12">
        <v>6632.7240000000002</v>
      </c>
      <c r="K356" s="12"/>
      <c r="L356" s="12">
        <f t="shared" si="102"/>
        <v>6632.7240000000002</v>
      </c>
      <c r="M356" s="12">
        <f t="shared" si="89"/>
        <v>1542.4939534883722</v>
      </c>
      <c r="N356" s="12" t="e">
        <f t="shared" si="103"/>
        <v>#REF!</v>
      </c>
      <c r="O356" s="12" t="e">
        <f t="shared" si="104"/>
        <v>#REF!</v>
      </c>
      <c r="P356" s="12" t="e">
        <f t="shared" si="105"/>
        <v>#REF!</v>
      </c>
    </row>
    <row r="357" spans="1:16" ht="18.75" hidden="1" x14ac:dyDescent="0.25">
      <c r="A357" s="22" t="s">
        <v>1820</v>
      </c>
      <c r="B357" s="23">
        <v>55</v>
      </c>
      <c r="C357" s="24" t="s">
        <v>1744</v>
      </c>
      <c r="D357" s="33" t="s">
        <v>269</v>
      </c>
      <c r="E357" s="12" t="s">
        <v>270</v>
      </c>
      <c r="F357" s="1"/>
      <c r="G357" s="1">
        <v>3.2850000000000001</v>
      </c>
      <c r="H357" s="1">
        <v>2.9000000000000001E-2</v>
      </c>
      <c r="I357" s="12">
        <f t="shared" si="101"/>
        <v>3.3140000000000001</v>
      </c>
      <c r="J357" s="12">
        <v>3171.1849999999999</v>
      </c>
      <c r="K357" s="12"/>
      <c r="L357" s="12">
        <f t="shared" si="102"/>
        <v>3171.1849999999999</v>
      </c>
      <c r="M357" s="12">
        <f t="shared" si="89"/>
        <v>956.90555220277611</v>
      </c>
      <c r="N357" s="12" t="e">
        <f t="shared" si="103"/>
        <v>#REF!</v>
      </c>
      <c r="O357" s="12" t="e">
        <f t="shared" si="104"/>
        <v>#REF!</v>
      </c>
      <c r="P357" s="12" t="e">
        <f t="shared" si="105"/>
        <v>#REF!</v>
      </c>
    </row>
    <row r="358" spans="1:16" ht="18.75" hidden="1" x14ac:dyDescent="0.25">
      <c r="A358" s="22" t="s">
        <v>1820</v>
      </c>
      <c r="B358" s="23">
        <v>56</v>
      </c>
      <c r="C358" s="24" t="s">
        <v>1744</v>
      </c>
      <c r="D358" s="33" t="s">
        <v>271</v>
      </c>
      <c r="E358" s="12" t="s">
        <v>272</v>
      </c>
      <c r="F358" s="1"/>
      <c r="G358" s="1">
        <v>4.726</v>
      </c>
      <c r="H358" s="1">
        <v>1.6E-2</v>
      </c>
      <c r="I358" s="12">
        <f t="shared" si="101"/>
        <v>4.742</v>
      </c>
      <c r="J358" s="12">
        <v>8915.2330000000002</v>
      </c>
      <c r="K358" s="12"/>
      <c r="L358" s="12">
        <f t="shared" si="102"/>
        <v>8915.2330000000002</v>
      </c>
      <c r="M358" s="12">
        <f t="shared" si="89"/>
        <v>1880.0575706452973</v>
      </c>
      <c r="N358" s="12" t="e">
        <f t="shared" si="103"/>
        <v>#REF!</v>
      </c>
      <c r="O358" s="12" t="e">
        <f t="shared" si="104"/>
        <v>#REF!</v>
      </c>
      <c r="P358" s="12" t="e">
        <f t="shared" si="105"/>
        <v>#REF!</v>
      </c>
    </row>
    <row r="359" spans="1:16" ht="18.75" hidden="1" x14ac:dyDescent="0.25">
      <c r="A359" s="22" t="s">
        <v>1820</v>
      </c>
      <c r="B359" s="23">
        <v>57</v>
      </c>
      <c r="C359" s="24" t="s">
        <v>1744</v>
      </c>
      <c r="D359" s="33" t="s">
        <v>273</v>
      </c>
      <c r="E359" s="12" t="s">
        <v>274</v>
      </c>
      <c r="F359" s="1"/>
      <c r="G359" s="1">
        <v>13.093</v>
      </c>
      <c r="H359" s="1">
        <v>4.2999999999999997E-2</v>
      </c>
      <c r="I359" s="12">
        <f t="shared" si="101"/>
        <v>13.135999999999999</v>
      </c>
      <c r="J359" s="12">
        <f>22991.927+1222.926</f>
        <v>24214.852999999999</v>
      </c>
      <c r="K359" s="12"/>
      <c r="L359" s="12">
        <f t="shared" si="102"/>
        <v>24214.852999999999</v>
      </c>
      <c r="M359" s="12">
        <f t="shared" si="89"/>
        <v>1843.3962393422655</v>
      </c>
      <c r="N359" s="12" t="e">
        <f t="shared" si="103"/>
        <v>#REF!</v>
      </c>
      <c r="O359" s="12" t="e">
        <f t="shared" si="104"/>
        <v>#REF!</v>
      </c>
      <c r="P359" s="12" t="e">
        <f t="shared" si="105"/>
        <v>#REF!</v>
      </c>
    </row>
    <row r="360" spans="1:16" ht="18.75" hidden="1" x14ac:dyDescent="0.25">
      <c r="A360" s="22" t="s">
        <v>1820</v>
      </c>
      <c r="B360" s="23">
        <v>58</v>
      </c>
      <c r="C360" s="24" t="s">
        <v>1744</v>
      </c>
      <c r="D360" s="33" t="s">
        <v>275</v>
      </c>
      <c r="E360" s="12" t="s">
        <v>276</v>
      </c>
      <c r="F360" s="1"/>
      <c r="G360" s="1">
        <v>6.3890000000000002</v>
      </c>
      <c r="H360" s="1">
        <v>4.1000000000000002E-2</v>
      </c>
      <c r="I360" s="12">
        <f t="shared" si="101"/>
        <v>6.4300000000000006</v>
      </c>
      <c r="J360" s="12">
        <v>31080.341</v>
      </c>
      <c r="K360" s="12"/>
      <c r="L360" s="12">
        <f t="shared" si="102"/>
        <v>31080.341</v>
      </c>
      <c r="M360" s="12">
        <f t="shared" si="89"/>
        <v>4833.6455676516325</v>
      </c>
      <c r="N360" s="12" t="e">
        <f t="shared" si="103"/>
        <v>#REF!</v>
      </c>
      <c r="O360" s="12" t="e">
        <f t="shared" si="104"/>
        <v>#REF!</v>
      </c>
      <c r="P360" s="12" t="e">
        <f t="shared" si="105"/>
        <v>#REF!</v>
      </c>
    </row>
    <row r="361" spans="1:16" ht="18.75" hidden="1" x14ac:dyDescent="0.25">
      <c r="A361" s="22" t="s">
        <v>1820</v>
      </c>
      <c r="B361" s="23">
        <v>59</v>
      </c>
      <c r="C361" s="24" t="s">
        <v>1744</v>
      </c>
      <c r="D361" s="33" t="s">
        <v>277</v>
      </c>
      <c r="E361" s="12" t="s">
        <v>278</v>
      </c>
      <c r="F361" s="1"/>
      <c r="G361" s="1">
        <v>4.5049999999999999</v>
      </c>
      <c r="H361" s="1">
        <v>1.9E-2</v>
      </c>
      <c r="I361" s="12">
        <f t="shared" si="101"/>
        <v>4.524</v>
      </c>
      <c r="J361" s="12">
        <v>14424.614</v>
      </c>
      <c r="K361" s="12"/>
      <c r="L361" s="12">
        <f t="shared" si="102"/>
        <v>14424.614</v>
      </c>
      <c r="M361" s="12">
        <f t="shared" si="89"/>
        <v>3188.4646330680812</v>
      </c>
      <c r="N361" s="12" t="e">
        <f t="shared" si="103"/>
        <v>#REF!</v>
      </c>
      <c r="O361" s="12" t="e">
        <f t="shared" si="104"/>
        <v>#REF!</v>
      </c>
      <c r="P361" s="12" t="e">
        <f t="shared" si="105"/>
        <v>#REF!</v>
      </c>
    </row>
    <row r="362" spans="1:16" ht="18.75" hidden="1" x14ac:dyDescent="0.25">
      <c r="A362" s="56" t="s">
        <v>1820</v>
      </c>
      <c r="B362" s="57">
        <v>60</v>
      </c>
      <c r="C362" s="58" t="s">
        <v>1744</v>
      </c>
      <c r="D362" s="59" t="s">
        <v>705</v>
      </c>
      <c r="E362" s="52" t="s">
        <v>696</v>
      </c>
      <c r="F362" s="53"/>
      <c r="G362" s="53">
        <v>20.425999999999998</v>
      </c>
      <c r="H362" s="53">
        <v>6.5000000000000002E-2</v>
      </c>
      <c r="I362" s="12">
        <f t="shared" si="101"/>
        <v>20.491</v>
      </c>
      <c r="J362" s="52">
        <v>16967.098000000002</v>
      </c>
      <c r="K362" s="52"/>
      <c r="L362" s="52">
        <f t="shared" si="102"/>
        <v>16967.098000000002</v>
      </c>
      <c r="M362" s="52">
        <f t="shared" si="89"/>
        <v>828.0268410521694</v>
      </c>
      <c r="N362" s="12" t="e">
        <f t="shared" si="103"/>
        <v>#REF!</v>
      </c>
      <c r="O362" s="12" t="e">
        <f t="shared" si="104"/>
        <v>#REF!</v>
      </c>
      <c r="P362" s="12" t="e">
        <f t="shared" si="105"/>
        <v>#REF!</v>
      </c>
    </row>
    <row r="363" spans="1:16" ht="18.75" hidden="1" x14ac:dyDescent="0.25">
      <c r="A363" s="56" t="s">
        <v>1820</v>
      </c>
      <c r="B363" s="57">
        <v>61</v>
      </c>
      <c r="C363" s="58" t="s">
        <v>1744</v>
      </c>
      <c r="D363" s="59" t="s">
        <v>1055</v>
      </c>
      <c r="E363" s="52" t="s">
        <v>697</v>
      </c>
      <c r="F363" s="53"/>
      <c r="G363" s="53">
        <v>18.559000000000001</v>
      </c>
      <c r="H363" s="53">
        <v>7.2999999999999995E-2</v>
      </c>
      <c r="I363" s="12">
        <f t="shared" si="101"/>
        <v>18.632000000000001</v>
      </c>
      <c r="J363" s="52">
        <v>18777.359</v>
      </c>
      <c r="K363" s="52"/>
      <c r="L363" s="52">
        <f t="shared" si="102"/>
        <v>18777.359</v>
      </c>
      <c r="M363" s="52">
        <f t="shared" ref="M363:M374" si="106">L363/I363</f>
        <v>1007.8015779304421</v>
      </c>
      <c r="N363" s="12" t="e">
        <f t="shared" si="103"/>
        <v>#REF!</v>
      </c>
      <c r="O363" s="12" t="e">
        <f t="shared" si="104"/>
        <v>#REF!</v>
      </c>
      <c r="P363" s="12" t="e">
        <f t="shared" si="105"/>
        <v>#REF!</v>
      </c>
    </row>
    <row r="364" spans="1:16" ht="18.75" hidden="1" x14ac:dyDescent="0.25">
      <c r="A364" s="56" t="s">
        <v>1820</v>
      </c>
      <c r="B364" s="57">
        <v>62</v>
      </c>
      <c r="C364" s="58" t="s">
        <v>1744</v>
      </c>
      <c r="D364" s="59" t="s">
        <v>1056</v>
      </c>
      <c r="E364" s="52" t="s">
        <v>698</v>
      </c>
      <c r="F364" s="53"/>
      <c r="G364" s="53">
        <v>7.4470000000000001</v>
      </c>
      <c r="H364" s="53">
        <v>4.9000000000000002E-2</v>
      </c>
      <c r="I364" s="12">
        <f t="shared" si="101"/>
        <v>7.4960000000000004</v>
      </c>
      <c r="J364" s="52">
        <v>3913.7240000000002</v>
      </c>
      <c r="K364" s="52"/>
      <c r="L364" s="52">
        <f t="shared" si="102"/>
        <v>3913.7240000000002</v>
      </c>
      <c r="M364" s="52">
        <f t="shared" si="106"/>
        <v>522.10832443970116</v>
      </c>
      <c r="N364" s="12" t="e">
        <f t="shared" si="103"/>
        <v>#REF!</v>
      </c>
      <c r="O364" s="12" t="e">
        <f t="shared" si="104"/>
        <v>#REF!</v>
      </c>
      <c r="P364" s="12" t="e">
        <f t="shared" si="105"/>
        <v>#REF!</v>
      </c>
    </row>
    <row r="365" spans="1:16" ht="18.75" hidden="1" x14ac:dyDescent="0.25">
      <c r="A365" s="56" t="s">
        <v>1820</v>
      </c>
      <c r="B365" s="57">
        <v>63</v>
      </c>
      <c r="C365" s="58" t="s">
        <v>1744</v>
      </c>
      <c r="D365" s="59" t="s">
        <v>1057</v>
      </c>
      <c r="E365" s="52" t="s">
        <v>699</v>
      </c>
      <c r="F365" s="53"/>
      <c r="G365" s="53">
        <v>4.0839999999999996</v>
      </c>
      <c r="H365" s="53">
        <v>1.7000000000000001E-2</v>
      </c>
      <c r="I365" s="12">
        <f t="shared" si="101"/>
        <v>4.101</v>
      </c>
      <c r="J365" s="52">
        <v>2468.8090000000002</v>
      </c>
      <c r="K365" s="52"/>
      <c r="L365" s="52">
        <f t="shared" si="102"/>
        <v>2468.8090000000002</v>
      </c>
      <c r="M365" s="52">
        <f t="shared" si="106"/>
        <v>602.00170690075595</v>
      </c>
      <c r="N365" s="12" t="e">
        <f t="shared" si="103"/>
        <v>#REF!</v>
      </c>
      <c r="O365" s="12" t="e">
        <f t="shared" si="104"/>
        <v>#REF!</v>
      </c>
      <c r="P365" s="12" t="e">
        <f t="shared" si="105"/>
        <v>#REF!</v>
      </c>
    </row>
    <row r="366" spans="1:16" ht="18.75" hidden="1" x14ac:dyDescent="0.25">
      <c r="A366" s="56" t="s">
        <v>1820</v>
      </c>
      <c r="B366" s="57">
        <v>64</v>
      </c>
      <c r="C366" s="58" t="s">
        <v>1744</v>
      </c>
      <c r="D366" s="59" t="s">
        <v>1058</v>
      </c>
      <c r="E366" s="52" t="s">
        <v>700</v>
      </c>
      <c r="F366" s="53"/>
      <c r="G366" s="53">
        <v>7.93</v>
      </c>
      <c r="H366" s="53">
        <v>2.1000000000000001E-2</v>
      </c>
      <c r="I366" s="12">
        <f t="shared" si="101"/>
        <v>7.9509999999999996</v>
      </c>
      <c r="J366" s="52">
        <v>6874.83</v>
      </c>
      <c r="K366" s="52"/>
      <c r="L366" s="52">
        <f t="shared" si="102"/>
        <v>6874.83</v>
      </c>
      <c r="M366" s="52">
        <f t="shared" si="106"/>
        <v>864.64972959376178</v>
      </c>
      <c r="N366" s="12" t="e">
        <f t="shared" si="103"/>
        <v>#REF!</v>
      </c>
      <c r="O366" s="12" t="e">
        <f t="shared" si="104"/>
        <v>#REF!</v>
      </c>
      <c r="P366" s="12" t="e">
        <f t="shared" si="105"/>
        <v>#REF!</v>
      </c>
    </row>
    <row r="367" spans="1:16" ht="18.75" hidden="1" x14ac:dyDescent="0.25">
      <c r="A367" s="56" t="s">
        <v>1820</v>
      </c>
      <c r="B367" s="57">
        <v>65</v>
      </c>
      <c r="C367" s="58" t="s">
        <v>1744</v>
      </c>
      <c r="D367" s="59" t="s">
        <v>1059</v>
      </c>
      <c r="E367" s="52" t="s">
        <v>701</v>
      </c>
      <c r="F367" s="53"/>
      <c r="G367" s="53">
        <v>35.128999999999998</v>
      </c>
      <c r="H367" s="53">
        <v>0.24199999999999999</v>
      </c>
      <c r="I367" s="12">
        <f t="shared" si="101"/>
        <v>35.370999999999995</v>
      </c>
      <c r="J367" s="52">
        <v>33819.957000000002</v>
      </c>
      <c r="K367" s="52"/>
      <c r="L367" s="52">
        <f t="shared" si="102"/>
        <v>33819.957000000002</v>
      </c>
      <c r="M367" s="52">
        <f t="shared" si="106"/>
        <v>956.14930310141096</v>
      </c>
      <c r="N367" s="12" t="e">
        <f t="shared" si="103"/>
        <v>#REF!</v>
      </c>
      <c r="O367" s="12" t="e">
        <f t="shared" si="104"/>
        <v>#REF!</v>
      </c>
      <c r="P367" s="12" t="e">
        <f t="shared" si="105"/>
        <v>#REF!</v>
      </c>
    </row>
    <row r="368" spans="1:16" ht="18.75" hidden="1" x14ac:dyDescent="0.25">
      <c r="A368" s="56" t="s">
        <v>1820</v>
      </c>
      <c r="B368" s="57">
        <v>66</v>
      </c>
      <c r="C368" s="58" t="s">
        <v>1744</v>
      </c>
      <c r="D368" s="59" t="s">
        <v>1060</v>
      </c>
      <c r="E368" s="52" t="s">
        <v>702</v>
      </c>
      <c r="F368" s="53"/>
      <c r="G368" s="53">
        <v>5.6449999999999996</v>
      </c>
      <c r="H368" s="53">
        <v>1.2E-2</v>
      </c>
      <c r="I368" s="12">
        <f t="shared" si="101"/>
        <v>5.6569999999999991</v>
      </c>
      <c r="J368" s="52">
        <v>1552.34</v>
      </c>
      <c r="K368" s="52"/>
      <c r="L368" s="52">
        <f t="shared" si="102"/>
        <v>1552.34</v>
      </c>
      <c r="M368" s="52">
        <f t="shared" si="106"/>
        <v>274.41046491073007</v>
      </c>
      <c r="N368" s="12" t="e">
        <f t="shared" si="103"/>
        <v>#REF!</v>
      </c>
      <c r="O368" s="12" t="e">
        <f t="shared" si="104"/>
        <v>#REF!</v>
      </c>
      <c r="P368" s="12" t="e">
        <f t="shared" si="105"/>
        <v>#REF!</v>
      </c>
    </row>
    <row r="369" spans="1:16" ht="18.75" hidden="1" x14ac:dyDescent="0.25">
      <c r="A369" s="56" t="s">
        <v>1820</v>
      </c>
      <c r="B369" s="57">
        <v>67</v>
      </c>
      <c r="C369" s="58" t="s">
        <v>1744</v>
      </c>
      <c r="D369" s="59" t="s">
        <v>1061</v>
      </c>
      <c r="E369" s="52" t="s">
        <v>703</v>
      </c>
      <c r="F369" s="53"/>
      <c r="G369" s="53">
        <v>2.6339999999999999</v>
      </c>
      <c r="H369" s="53">
        <v>2E-3</v>
      </c>
      <c r="I369" s="12">
        <f t="shared" si="101"/>
        <v>2.6359999999999997</v>
      </c>
      <c r="J369" s="52">
        <v>1057.586</v>
      </c>
      <c r="K369" s="52"/>
      <c r="L369" s="52">
        <f t="shared" si="102"/>
        <v>1057.586</v>
      </c>
      <c r="M369" s="52">
        <f t="shared" si="106"/>
        <v>401.2086494688923</v>
      </c>
      <c r="N369" s="12" t="e">
        <f t="shared" si="103"/>
        <v>#REF!</v>
      </c>
      <c r="O369" s="12" t="e">
        <f t="shared" si="104"/>
        <v>#REF!</v>
      </c>
      <c r="P369" s="12" t="e">
        <f t="shared" si="105"/>
        <v>#REF!</v>
      </c>
    </row>
    <row r="370" spans="1:16" ht="18.75" hidden="1" x14ac:dyDescent="0.25">
      <c r="A370" s="56" t="s">
        <v>1820</v>
      </c>
      <c r="B370" s="57">
        <v>68</v>
      </c>
      <c r="C370" s="58" t="s">
        <v>1744</v>
      </c>
      <c r="D370" s="59" t="s">
        <v>1062</v>
      </c>
      <c r="E370" s="52" t="s">
        <v>704</v>
      </c>
      <c r="F370" s="53"/>
      <c r="G370" s="53">
        <v>2.3010000000000002</v>
      </c>
      <c r="H370" s="53">
        <v>8.0000000000000002E-3</v>
      </c>
      <c r="I370" s="12">
        <f t="shared" si="101"/>
        <v>2.3090000000000002</v>
      </c>
      <c r="J370" s="52">
        <v>1005.325</v>
      </c>
      <c r="K370" s="52"/>
      <c r="L370" s="52">
        <f t="shared" si="102"/>
        <v>1005.325</v>
      </c>
      <c r="M370" s="52">
        <f t="shared" si="106"/>
        <v>435.39411000433086</v>
      </c>
      <c r="N370" s="12" t="e">
        <f t="shared" si="103"/>
        <v>#REF!</v>
      </c>
      <c r="O370" s="12" t="e">
        <f t="shared" si="104"/>
        <v>#REF!</v>
      </c>
      <c r="P370" s="12" t="e">
        <f t="shared" si="105"/>
        <v>#REF!</v>
      </c>
    </row>
    <row r="371" spans="1:16" ht="18.75" hidden="1" x14ac:dyDescent="0.25">
      <c r="A371" s="56" t="s">
        <v>1820</v>
      </c>
      <c r="B371" s="57">
        <v>69</v>
      </c>
      <c r="C371" s="58" t="s">
        <v>1744</v>
      </c>
      <c r="D371" s="59" t="s">
        <v>1063</v>
      </c>
      <c r="E371" s="52" t="s">
        <v>706</v>
      </c>
      <c r="F371" s="53"/>
      <c r="G371" s="53">
        <v>12.005000000000001</v>
      </c>
      <c r="H371" s="53">
        <v>4.8000000000000001E-2</v>
      </c>
      <c r="I371" s="12">
        <f t="shared" si="101"/>
        <v>12.053000000000001</v>
      </c>
      <c r="J371" s="52">
        <v>9044.73</v>
      </c>
      <c r="K371" s="52"/>
      <c r="L371" s="52">
        <f t="shared" si="102"/>
        <v>9044.73</v>
      </c>
      <c r="M371" s="52">
        <f t="shared" si="106"/>
        <v>750.41317514311777</v>
      </c>
      <c r="N371" s="12" t="e">
        <f t="shared" si="103"/>
        <v>#REF!</v>
      </c>
      <c r="O371" s="12" t="e">
        <f t="shared" si="104"/>
        <v>#REF!</v>
      </c>
      <c r="P371" s="12" t="e">
        <f t="shared" si="105"/>
        <v>#REF!</v>
      </c>
    </row>
    <row r="372" spans="1:16" ht="18.75" hidden="1" x14ac:dyDescent="0.25">
      <c r="A372" s="56" t="s">
        <v>1820</v>
      </c>
      <c r="B372" s="57">
        <v>70</v>
      </c>
      <c r="C372" s="58" t="s">
        <v>1744</v>
      </c>
      <c r="D372" s="59" t="s">
        <v>1064</v>
      </c>
      <c r="E372" s="52" t="s">
        <v>707</v>
      </c>
      <c r="F372" s="53"/>
      <c r="G372" s="53">
        <v>25.018999999999998</v>
      </c>
      <c r="H372" s="53">
        <v>0.14799999999999999</v>
      </c>
      <c r="I372" s="12">
        <f t="shared" si="101"/>
        <v>25.166999999999998</v>
      </c>
      <c r="J372" s="52">
        <v>29224.758000000002</v>
      </c>
      <c r="K372" s="52"/>
      <c r="L372" s="52">
        <f t="shared" si="102"/>
        <v>29224.758000000002</v>
      </c>
      <c r="M372" s="52">
        <f t="shared" si="106"/>
        <v>1161.2332816783885</v>
      </c>
      <c r="N372" s="12" t="e">
        <f t="shared" si="103"/>
        <v>#REF!</v>
      </c>
      <c r="O372" s="12" t="e">
        <f t="shared" si="104"/>
        <v>#REF!</v>
      </c>
      <c r="P372" s="12" t="e">
        <f t="shared" si="105"/>
        <v>#REF!</v>
      </c>
    </row>
    <row r="373" spans="1:16" ht="31.5" hidden="1" x14ac:dyDescent="0.25">
      <c r="A373" s="56" t="s">
        <v>1820</v>
      </c>
      <c r="B373" s="57">
        <v>71</v>
      </c>
      <c r="C373" s="58" t="s">
        <v>1744</v>
      </c>
      <c r="D373" s="59" t="s">
        <v>1065</v>
      </c>
      <c r="E373" s="52" t="s">
        <v>708</v>
      </c>
      <c r="F373" s="53"/>
      <c r="G373" s="53">
        <v>6.5949999999999998</v>
      </c>
      <c r="H373" s="53">
        <v>4.1000000000000002E-2</v>
      </c>
      <c r="I373" s="12">
        <f t="shared" si="101"/>
        <v>6.6360000000000001</v>
      </c>
      <c r="J373" s="52">
        <f>1968.734+1190.998</f>
        <v>3159.732</v>
      </c>
      <c r="K373" s="52"/>
      <c r="L373" s="52">
        <f t="shared" si="102"/>
        <v>3159.732</v>
      </c>
      <c r="M373" s="52">
        <f t="shared" si="106"/>
        <v>476.15009041591321</v>
      </c>
      <c r="N373" s="12" t="e">
        <f t="shared" si="103"/>
        <v>#REF!</v>
      </c>
      <c r="O373" s="12" t="e">
        <f t="shared" si="104"/>
        <v>#REF!</v>
      </c>
      <c r="P373" s="12" t="e">
        <f t="shared" si="105"/>
        <v>#REF!</v>
      </c>
    </row>
    <row r="374" spans="1:16" ht="31.5" hidden="1" x14ac:dyDescent="0.25">
      <c r="A374" s="56" t="s">
        <v>1820</v>
      </c>
      <c r="B374" s="57">
        <v>72</v>
      </c>
      <c r="C374" s="58" t="s">
        <v>1744</v>
      </c>
      <c r="D374" s="59" t="s">
        <v>1066</v>
      </c>
      <c r="E374" s="52" t="s">
        <v>709</v>
      </c>
      <c r="F374" s="53"/>
      <c r="G374" s="53">
        <v>5.35</v>
      </c>
      <c r="H374" s="53">
        <v>1.0999999999999999E-2</v>
      </c>
      <c r="I374" s="12">
        <f t="shared" si="101"/>
        <v>5.3609999999999998</v>
      </c>
      <c r="J374" s="52">
        <f>15057.395+582.786</f>
        <v>15640.181</v>
      </c>
      <c r="K374" s="52"/>
      <c r="L374" s="52">
        <f t="shared" si="102"/>
        <v>15640.181</v>
      </c>
      <c r="M374" s="52">
        <f t="shared" si="106"/>
        <v>2917.3999253870547</v>
      </c>
      <c r="N374" s="12" t="e">
        <f t="shared" si="103"/>
        <v>#REF!</v>
      </c>
      <c r="O374" s="12" t="e">
        <f t="shared" si="104"/>
        <v>#REF!</v>
      </c>
      <c r="P374" s="12" t="e">
        <f t="shared" si="105"/>
        <v>#REF!</v>
      </c>
    </row>
    <row r="375" spans="1:16" s="75" customFormat="1" ht="15.75" hidden="1" x14ac:dyDescent="0.25">
      <c r="A375" s="72" t="s">
        <v>1822</v>
      </c>
      <c r="B375" s="72" t="s">
        <v>1126</v>
      </c>
      <c r="C375" s="73" t="s">
        <v>1161</v>
      </c>
      <c r="D375" s="74"/>
      <c r="E375" s="71" t="s">
        <v>1751</v>
      </c>
      <c r="F375" s="76"/>
      <c r="G375" s="71">
        <f t="shared" ref="G375:L375" si="107">G376+G377+G383+G397</f>
        <v>1258.777</v>
      </c>
      <c r="H375" s="71">
        <f t="shared" si="107"/>
        <v>3.5019999999999998</v>
      </c>
      <c r="I375" s="71">
        <f t="shared" si="107"/>
        <v>1262.279</v>
      </c>
      <c r="J375" s="71">
        <f t="shared" si="107"/>
        <v>1211405.03666</v>
      </c>
      <c r="K375" s="71">
        <f t="shared" si="107"/>
        <v>-3.5807999999999538</v>
      </c>
      <c r="L375" s="71">
        <f t="shared" si="107"/>
        <v>1211401.4558599999</v>
      </c>
      <c r="M375" s="71">
        <f>L375/I375</f>
        <v>959.69389957370743</v>
      </c>
      <c r="N375" s="71" t="e">
        <f>M375/$M$1429</f>
        <v>#REF!</v>
      </c>
      <c r="O375" s="71" t="e">
        <f>O376+O377+O383+O397</f>
        <v>#REF!</v>
      </c>
      <c r="P375" s="71" t="e">
        <f>P376+P377+P383+P397</f>
        <v>#REF!</v>
      </c>
    </row>
    <row r="376" spans="1:16" ht="15.75" hidden="1" x14ac:dyDescent="0.25">
      <c r="A376" s="14" t="s">
        <v>1822</v>
      </c>
      <c r="B376" s="14" t="s">
        <v>1126</v>
      </c>
      <c r="C376" s="8" t="s">
        <v>1159</v>
      </c>
      <c r="D376" s="28" t="s">
        <v>2026</v>
      </c>
      <c r="E376" s="12" t="s">
        <v>1160</v>
      </c>
      <c r="F376" s="1"/>
      <c r="G376" s="1">
        <v>0</v>
      </c>
      <c r="H376" s="1">
        <v>0</v>
      </c>
      <c r="I376" s="12">
        <f>H376+G376</f>
        <v>0</v>
      </c>
      <c r="J376" s="12"/>
      <c r="K376" s="12"/>
      <c r="L376" s="12"/>
      <c r="M376" s="12"/>
      <c r="N376" s="12"/>
      <c r="O376" s="12"/>
      <c r="P376" s="12"/>
    </row>
    <row r="377" spans="1:16" ht="15.75" hidden="1" x14ac:dyDescent="0.25">
      <c r="A377" s="15" t="s">
        <v>1822</v>
      </c>
      <c r="B377" s="15" t="s">
        <v>1126</v>
      </c>
      <c r="C377" s="10" t="s">
        <v>1127</v>
      </c>
      <c r="D377" s="29"/>
      <c r="E377" s="37" t="s">
        <v>1128</v>
      </c>
      <c r="F377" s="6"/>
      <c r="G377" s="37">
        <f t="shared" ref="G377:L377" si="108">SUM(G378:G382)</f>
        <v>264.91200000000003</v>
      </c>
      <c r="H377" s="37">
        <f>SUM(H378:H382)</f>
        <v>2.4019999999999997</v>
      </c>
      <c r="I377" s="37">
        <f t="shared" si="108"/>
        <v>267.31400000000002</v>
      </c>
      <c r="J377" s="37">
        <f t="shared" si="108"/>
        <v>607313.92336000002</v>
      </c>
      <c r="K377" s="37">
        <f t="shared" si="108"/>
        <v>-1787.2067999999997</v>
      </c>
      <c r="L377" s="37">
        <f t="shared" si="108"/>
        <v>605526.71655999997</v>
      </c>
      <c r="M377" s="37">
        <f t="shared" ref="M377:M403" si="109">L377/I377</f>
        <v>2265.2263501350467</v>
      </c>
      <c r="N377" s="37" t="e">
        <f>M377/$M$1429</f>
        <v>#REF!</v>
      </c>
      <c r="O377" s="37" t="e">
        <f>SUM(O378:O382)</f>
        <v>#REF!</v>
      </c>
      <c r="P377" s="37" t="e">
        <f>SUM(P378:P382)</f>
        <v>#REF!</v>
      </c>
    </row>
    <row r="378" spans="1:16" ht="15.75" hidden="1" x14ac:dyDescent="0.25">
      <c r="A378" s="14" t="s">
        <v>1822</v>
      </c>
      <c r="B378" s="14" t="s">
        <v>1811</v>
      </c>
      <c r="C378" s="8" t="s">
        <v>1119</v>
      </c>
      <c r="D378" s="28" t="s">
        <v>2027</v>
      </c>
      <c r="E378" s="12" t="s">
        <v>1274</v>
      </c>
      <c r="F378" s="1"/>
      <c r="G378" s="1">
        <v>114.00700000000001</v>
      </c>
      <c r="H378" s="1">
        <v>1.46</v>
      </c>
      <c r="I378" s="12">
        <f>H378+G378</f>
        <v>115.467</v>
      </c>
      <c r="J378" s="12">
        <v>292002.50047999999</v>
      </c>
      <c r="K378" s="12">
        <f>-2013.305*0.6-5.968*0.6-26.679*0.6-571.807*0.6-23.273*0.6-936.132*0.6</f>
        <v>-2146.2983999999997</v>
      </c>
      <c r="L378" s="12">
        <f>J378+K378</f>
        <v>289856.20207999996</v>
      </c>
      <c r="M378" s="12">
        <f t="shared" si="109"/>
        <v>2510.2947342530765</v>
      </c>
      <c r="N378" s="12" t="e">
        <f>M378/$M$1431</f>
        <v>#REF!</v>
      </c>
      <c r="O378" s="12" t="e">
        <f>ROUND(IF(N378&lt;110%,0,(M378-$M$1431*1.1)*0.8)*I378,1)</f>
        <v>#REF!</v>
      </c>
      <c r="P378" s="12" t="e">
        <f>ROUND(IF(N378&gt;90%,0,(-M378+$M$1431*0.9)*0.8)*I378,1)</f>
        <v>#REF!</v>
      </c>
    </row>
    <row r="379" spans="1:16" ht="15.75" hidden="1" x14ac:dyDescent="0.25">
      <c r="A379" s="14" t="s">
        <v>1822</v>
      </c>
      <c r="B379" s="14" t="s">
        <v>1810</v>
      </c>
      <c r="C379" s="8" t="s">
        <v>1119</v>
      </c>
      <c r="D379" s="28" t="s">
        <v>2028</v>
      </c>
      <c r="E379" s="12" t="s">
        <v>1275</v>
      </c>
      <c r="F379" s="1"/>
      <c r="G379" s="1">
        <v>24.231999999999999</v>
      </c>
      <c r="H379" s="1">
        <v>0.13500000000000001</v>
      </c>
      <c r="I379" s="12">
        <f>H379+G379</f>
        <v>24.367000000000001</v>
      </c>
      <c r="J379" s="12">
        <v>44029.613259999998</v>
      </c>
      <c r="K379" s="12"/>
      <c r="L379" s="12">
        <f>J379+K379</f>
        <v>44029.613259999998</v>
      </c>
      <c r="M379" s="12">
        <f t="shared" si="109"/>
        <v>1806.9361538145852</v>
      </c>
      <c r="N379" s="12" t="e">
        <f>M379/$M$1431</f>
        <v>#REF!</v>
      </c>
      <c r="O379" s="12" t="e">
        <f>ROUND(IF(N379&lt;110%,0,(M379-$M$1431*1.1)*0.8)*I379,1)</f>
        <v>#REF!</v>
      </c>
      <c r="P379" s="12" t="e">
        <f>ROUND(IF(N379&gt;90%,0,(-M379+$M$1431*0.9)*0.8)*I379,1)</f>
        <v>#REF!</v>
      </c>
    </row>
    <row r="380" spans="1:16" ht="15.75" hidden="1" x14ac:dyDescent="0.25">
      <c r="A380" s="14" t="s">
        <v>1822</v>
      </c>
      <c r="B380" s="14" t="s">
        <v>1850</v>
      </c>
      <c r="C380" s="8" t="s">
        <v>1119</v>
      </c>
      <c r="D380" s="28" t="s">
        <v>2029</v>
      </c>
      <c r="E380" s="12" t="s">
        <v>1276</v>
      </c>
      <c r="F380" s="1"/>
      <c r="G380" s="1">
        <v>86.037000000000006</v>
      </c>
      <c r="H380" s="1">
        <v>0.73299999999999998</v>
      </c>
      <c r="I380" s="12">
        <f>H380+G380</f>
        <v>86.77000000000001</v>
      </c>
      <c r="J380" s="12">
        <v>209893.79686999999</v>
      </c>
      <c r="K380" s="12">
        <f>571.807*0.6+26.679*0.6</f>
        <v>359.09160000000003</v>
      </c>
      <c r="L380" s="12">
        <f>J380+K380</f>
        <v>210252.88847000001</v>
      </c>
      <c r="M380" s="12">
        <f t="shared" si="109"/>
        <v>2423.1057793016016</v>
      </c>
      <c r="N380" s="12" t="e">
        <f>M380/$M$1431</f>
        <v>#REF!</v>
      </c>
      <c r="O380" s="12" t="e">
        <f>ROUND(IF(N380&lt;110%,0,(M380-$M$1431*1.1)*0.8)*I380,1)</f>
        <v>#REF!</v>
      </c>
      <c r="P380" s="12" t="e">
        <f>ROUND(IF(N380&gt;90%,0,(-M380+$M$1431*0.9)*0.8)*I380,1)</f>
        <v>#REF!</v>
      </c>
    </row>
    <row r="381" spans="1:16" ht="15.75" hidden="1" x14ac:dyDescent="0.25">
      <c r="A381" s="14" t="s">
        <v>1822</v>
      </c>
      <c r="B381" s="14" t="s">
        <v>1855</v>
      </c>
      <c r="C381" s="8" t="s">
        <v>1119</v>
      </c>
      <c r="D381" s="28" t="s">
        <v>2030</v>
      </c>
      <c r="E381" s="12" t="s">
        <v>1277</v>
      </c>
      <c r="F381" s="1"/>
      <c r="G381" s="1">
        <v>31.704000000000001</v>
      </c>
      <c r="H381" s="1">
        <v>4.9000000000000002E-2</v>
      </c>
      <c r="I381" s="12">
        <f>H381+G381</f>
        <v>31.753</v>
      </c>
      <c r="J381" s="12">
        <v>41978.607839999997</v>
      </c>
      <c r="K381" s="12"/>
      <c r="L381" s="12">
        <f>J381+K381</f>
        <v>41978.607839999997</v>
      </c>
      <c r="M381" s="12">
        <f t="shared" si="109"/>
        <v>1322.0359600667653</v>
      </c>
      <c r="N381" s="12" t="e">
        <f>M381/$M$1431</f>
        <v>#REF!</v>
      </c>
      <c r="O381" s="12" t="e">
        <f>ROUND(IF(N381&lt;110%,0,(M381-$M$1431*1.1)*0.8)*I381,1)</f>
        <v>#REF!</v>
      </c>
      <c r="P381" s="12" t="e">
        <f>ROUND(IF(N381&gt;90%,0,(-M381+$M$1431*0.9)*0.8)*I381,1)</f>
        <v>#REF!</v>
      </c>
    </row>
    <row r="382" spans="1:16" ht="15.75" hidden="1" x14ac:dyDescent="0.25">
      <c r="A382" s="14" t="s">
        <v>1822</v>
      </c>
      <c r="B382" s="14" t="s">
        <v>1818</v>
      </c>
      <c r="C382" s="8" t="s">
        <v>1119</v>
      </c>
      <c r="D382" s="28" t="s">
        <v>2031</v>
      </c>
      <c r="E382" s="12" t="s">
        <v>1278</v>
      </c>
      <c r="F382" s="1"/>
      <c r="G382" s="1">
        <v>8.9320000000000004</v>
      </c>
      <c r="H382" s="1">
        <v>2.5000000000000001E-2</v>
      </c>
      <c r="I382" s="12">
        <f>H382+G382</f>
        <v>8.9570000000000007</v>
      </c>
      <c r="J382" s="12">
        <v>19409.404910000001</v>
      </c>
      <c r="K382" s="12"/>
      <c r="L382" s="12">
        <f>J382+K382</f>
        <v>19409.404910000001</v>
      </c>
      <c r="M382" s="12">
        <f t="shared" si="109"/>
        <v>2166.9537691191244</v>
      </c>
      <c r="N382" s="12" t="e">
        <f>M382/$M$1431</f>
        <v>#REF!</v>
      </c>
      <c r="O382" s="12" t="e">
        <f>ROUND(IF(N382&lt;110%,0,(M382-$M$1431*1.1)*0.8)*I382,1)</f>
        <v>#REF!</v>
      </c>
      <c r="P382" s="12" t="e">
        <f>ROUND(IF(N382&gt;90%,0,(-M382+$M$1431*0.9)*0.8)*I382,1)</f>
        <v>#REF!</v>
      </c>
    </row>
    <row r="383" spans="1:16" ht="15.75" hidden="1" x14ac:dyDescent="0.25">
      <c r="A383" s="15" t="s">
        <v>1822</v>
      </c>
      <c r="B383" s="15" t="s">
        <v>1126</v>
      </c>
      <c r="C383" s="10" t="s">
        <v>1157</v>
      </c>
      <c r="D383" s="29"/>
      <c r="E383" s="37" t="s">
        <v>1158</v>
      </c>
      <c r="F383" s="6"/>
      <c r="G383" s="37">
        <f t="shared" ref="G383:L383" si="110">SUM(G384:G396)</f>
        <v>922.67900000000009</v>
      </c>
      <c r="H383" s="37">
        <f>SUM(H384:H396)</f>
        <v>0.9830000000000001</v>
      </c>
      <c r="I383" s="37">
        <f t="shared" si="110"/>
        <v>923.66200000000003</v>
      </c>
      <c r="J383" s="37">
        <f t="shared" si="110"/>
        <v>519740.326114</v>
      </c>
      <c r="K383" s="37">
        <f t="shared" si="110"/>
        <v>1783.6259999999997</v>
      </c>
      <c r="L383" s="37">
        <f t="shared" si="110"/>
        <v>521523.95211399993</v>
      </c>
      <c r="M383" s="37">
        <f t="shared" si="109"/>
        <v>564.62640242209807</v>
      </c>
      <c r="N383" s="37" t="e">
        <f>M383/$M$1429</f>
        <v>#REF!</v>
      </c>
      <c r="O383" s="37" t="e">
        <f>SUM(O384:O396)</f>
        <v>#REF!</v>
      </c>
      <c r="P383" s="37" t="e">
        <f>SUM(P384:P396)</f>
        <v>#REF!</v>
      </c>
    </row>
    <row r="384" spans="1:16" ht="15.75" hidden="1" x14ac:dyDescent="0.25">
      <c r="A384" s="14" t="s">
        <v>1822</v>
      </c>
      <c r="B384" s="14" t="s">
        <v>1818</v>
      </c>
      <c r="C384" s="8" t="s">
        <v>1129</v>
      </c>
      <c r="D384" s="28" t="s">
        <v>2032</v>
      </c>
      <c r="E384" s="12" t="s">
        <v>1279</v>
      </c>
      <c r="F384" s="1"/>
      <c r="G384" s="1">
        <v>51.076000000000001</v>
      </c>
      <c r="H384" s="1">
        <v>3.5999999999999997E-2</v>
      </c>
      <c r="I384" s="12">
        <f t="shared" ref="I384:I396" si="111">H384+G384</f>
        <v>51.112000000000002</v>
      </c>
      <c r="J384" s="12">
        <v>25427.599429999998</v>
      </c>
      <c r="K384" s="12">
        <f>2013.305*0.6+23.273*0.6</f>
        <v>1221.9467999999999</v>
      </c>
      <c r="L384" s="12">
        <f t="shared" ref="L384:L396" si="112">J384+K384</f>
        <v>26649.54623</v>
      </c>
      <c r="M384" s="12">
        <f t="shared" si="109"/>
        <v>521.39509762873683</v>
      </c>
      <c r="N384" s="12" t="e">
        <f t="shared" ref="N384:N396" si="113">M384/$M$1432</f>
        <v>#REF!</v>
      </c>
      <c r="O384" s="12" t="e">
        <f t="shared" ref="O384:O396" si="114">ROUND(IF(N384&lt;110%,0,(M384-$M$1432*1.1)*0.8)*I384,1)</f>
        <v>#REF!</v>
      </c>
      <c r="P384" s="12" t="e">
        <f t="shared" ref="P384:P396" si="115">ROUND(IF(N384&gt;90%,0,(-M384+$M$1432*0.9)*0.8)*I384,1)</f>
        <v>#REF!</v>
      </c>
    </row>
    <row r="385" spans="1:16" ht="15.75" hidden="1" x14ac:dyDescent="0.25">
      <c r="A385" s="14" t="s">
        <v>1822</v>
      </c>
      <c r="B385" s="14" t="s">
        <v>1820</v>
      </c>
      <c r="C385" s="8" t="s">
        <v>1129</v>
      </c>
      <c r="D385" s="28" t="s">
        <v>2033</v>
      </c>
      <c r="E385" s="12" t="s">
        <v>1280</v>
      </c>
      <c r="F385" s="1"/>
      <c r="G385" s="1">
        <v>26.588999999999999</v>
      </c>
      <c r="H385" s="1">
        <v>3.3000000000000002E-2</v>
      </c>
      <c r="I385" s="12">
        <f t="shared" si="111"/>
        <v>26.622</v>
      </c>
      <c r="J385" s="12">
        <v>18985.769390000001</v>
      </c>
      <c r="K385" s="12">
        <f>936.132*0.6</f>
        <v>561.67919999999992</v>
      </c>
      <c r="L385" s="12">
        <f t="shared" si="112"/>
        <v>19547.44859</v>
      </c>
      <c r="M385" s="12">
        <f t="shared" si="109"/>
        <v>734.25920629554503</v>
      </c>
      <c r="N385" s="12" t="e">
        <f t="shared" si="113"/>
        <v>#REF!</v>
      </c>
      <c r="O385" s="12" t="e">
        <f t="shared" si="114"/>
        <v>#REF!</v>
      </c>
      <c r="P385" s="12" t="e">
        <f t="shared" si="115"/>
        <v>#REF!</v>
      </c>
    </row>
    <row r="386" spans="1:16" ht="15.75" hidden="1" x14ac:dyDescent="0.25">
      <c r="A386" s="14" t="s">
        <v>1822</v>
      </c>
      <c r="B386" s="14" t="s">
        <v>1822</v>
      </c>
      <c r="C386" s="8" t="s">
        <v>1129</v>
      </c>
      <c r="D386" s="28" t="s">
        <v>2034</v>
      </c>
      <c r="E386" s="12" t="s">
        <v>1281</v>
      </c>
      <c r="F386" s="1"/>
      <c r="G386" s="1">
        <v>121.087</v>
      </c>
      <c r="H386" s="1">
        <v>0.214</v>
      </c>
      <c r="I386" s="12">
        <f t="shared" si="111"/>
        <v>121.301</v>
      </c>
      <c r="J386" s="12">
        <v>100946.60281</v>
      </c>
      <c r="K386" s="12"/>
      <c r="L386" s="12">
        <f t="shared" si="112"/>
        <v>100946.60281</v>
      </c>
      <c r="M386" s="12">
        <f t="shared" si="109"/>
        <v>832.19926307285175</v>
      </c>
      <c r="N386" s="12" t="e">
        <f t="shared" si="113"/>
        <v>#REF!</v>
      </c>
      <c r="O386" s="12" t="e">
        <f t="shared" si="114"/>
        <v>#REF!</v>
      </c>
      <c r="P386" s="12" t="e">
        <f t="shared" si="115"/>
        <v>#REF!</v>
      </c>
    </row>
    <row r="387" spans="1:16" ht="15.75" hidden="1" x14ac:dyDescent="0.25">
      <c r="A387" s="14" t="s">
        <v>1822</v>
      </c>
      <c r="B387" s="14" t="s">
        <v>1824</v>
      </c>
      <c r="C387" s="8" t="s">
        <v>1129</v>
      </c>
      <c r="D387" s="28" t="s">
        <v>2035</v>
      </c>
      <c r="E387" s="12" t="s">
        <v>1282</v>
      </c>
      <c r="F387" s="1"/>
      <c r="G387" s="1">
        <v>24.295000000000002</v>
      </c>
      <c r="H387" s="1">
        <v>0.02</v>
      </c>
      <c r="I387" s="12">
        <f t="shared" si="111"/>
        <v>24.315000000000001</v>
      </c>
      <c r="J387" s="12">
        <v>16705.282510000001</v>
      </c>
      <c r="K387" s="12"/>
      <c r="L387" s="12">
        <f t="shared" si="112"/>
        <v>16705.282510000001</v>
      </c>
      <c r="M387" s="12">
        <f t="shared" si="109"/>
        <v>687.03608924532182</v>
      </c>
      <c r="N387" s="12" t="e">
        <f t="shared" si="113"/>
        <v>#REF!</v>
      </c>
      <c r="O387" s="12" t="e">
        <f t="shared" si="114"/>
        <v>#REF!</v>
      </c>
      <c r="P387" s="12" t="e">
        <f t="shared" si="115"/>
        <v>#REF!</v>
      </c>
    </row>
    <row r="388" spans="1:16" ht="15.75" hidden="1" x14ac:dyDescent="0.25">
      <c r="A388" s="14" t="s">
        <v>1822</v>
      </c>
      <c r="B388" s="14" t="s">
        <v>1826</v>
      </c>
      <c r="C388" s="8" t="s">
        <v>1129</v>
      </c>
      <c r="D388" s="28" t="s">
        <v>2036</v>
      </c>
      <c r="E388" s="12" t="s">
        <v>1283</v>
      </c>
      <c r="F388" s="1"/>
      <c r="G388" s="1">
        <v>89.090999999999994</v>
      </c>
      <c r="H388" s="1">
        <v>8.5000000000000006E-2</v>
      </c>
      <c r="I388" s="12">
        <f t="shared" si="111"/>
        <v>89.175999999999988</v>
      </c>
      <c r="J388" s="12">
        <f>43184.49092-17826.303642</f>
        <v>25358.187277999998</v>
      </c>
      <c r="K388" s="12"/>
      <c r="L388" s="12">
        <f t="shared" si="112"/>
        <v>25358.187277999998</v>
      </c>
      <c r="M388" s="12">
        <f t="shared" si="109"/>
        <v>284.36112045841929</v>
      </c>
      <c r="N388" s="12" t="e">
        <f t="shared" si="113"/>
        <v>#REF!</v>
      </c>
      <c r="O388" s="12" t="e">
        <f t="shared" si="114"/>
        <v>#REF!</v>
      </c>
      <c r="P388" s="12" t="e">
        <f t="shared" si="115"/>
        <v>#REF!</v>
      </c>
    </row>
    <row r="389" spans="1:16" ht="15.75" hidden="1" x14ac:dyDescent="0.25">
      <c r="A389" s="14" t="s">
        <v>1822</v>
      </c>
      <c r="B389" s="14">
        <v>10</v>
      </c>
      <c r="C389" s="8" t="s">
        <v>1129</v>
      </c>
      <c r="D389" s="28" t="s">
        <v>2037</v>
      </c>
      <c r="E389" s="12" t="s">
        <v>1284</v>
      </c>
      <c r="F389" s="1"/>
      <c r="G389" s="1">
        <v>47.959000000000003</v>
      </c>
      <c r="H389" s="1">
        <v>2.1000000000000001E-2</v>
      </c>
      <c r="I389" s="12">
        <f t="shared" si="111"/>
        <v>47.980000000000004</v>
      </c>
      <c r="J389" s="12">
        <v>26225.89056</v>
      </c>
      <c r="K389" s="12"/>
      <c r="L389" s="12">
        <f t="shared" si="112"/>
        <v>26225.89056</v>
      </c>
      <c r="M389" s="12">
        <f t="shared" si="109"/>
        <v>546.60047019591491</v>
      </c>
      <c r="N389" s="12" t="e">
        <f t="shared" si="113"/>
        <v>#REF!</v>
      </c>
      <c r="O389" s="12" t="e">
        <f t="shared" si="114"/>
        <v>#REF!</v>
      </c>
      <c r="P389" s="12" t="e">
        <f t="shared" si="115"/>
        <v>#REF!</v>
      </c>
    </row>
    <row r="390" spans="1:16" ht="15.75" hidden="1" x14ac:dyDescent="0.25">
      <c r="A390" s="14" t="s">
        <v>1822</v>
      </c>
      <c r="B390" s="14">
        <v>11</v>
      </c>
      <c r="C390" s="8" t="s">
        <v>1129</v>
      </c>
      <c r="D390" s="28" t="s">
        <v>2038</v>
      </c>
      <c r="E390" s="12" t="s">
        <v>1285</v>
      </c>
      <c r="F390" s="1"/>
      <c r="G390" s="1">
        <v>100.91500000000001</v>
      </c>
      <c r="H390" s="1">
        <v>0.114</v>
      </c>
      <c r="I390" s="12">
        <f t="shared" si="111"/>
        <v>101.02900000000001</v>
      </c>
      <c r="J390" s="12">
        <v>44373.114350000003</v>
      </c>
      <c r="K390" s="12"/>
      <c r="L390" s="12">
        <f t="shared" si="112"/>
        <v>44373.114350000003</v>
      </c>
      <c r="M390" s="12">
        <f t="shared" si="109"/>
        <v>439.21165556424393</v>
      </c>
      <c r="N390" s="12" t="e">
        <f t="shared" si="113"/>
        <v>#REF!</v>
      </c>
      <c r="O390" s="12" t="e">
        <f t="shared" si="114"/>
        <v>#REF!</v>
      </c>
      <c r="P390" s="12" t="e">
        <f t="shared" si="115"/>
        <v>#REF!</v>
      </c>
    </row>
    <row r="391" spans="1:16" ht="15.75" hidden="1" x14ac:dyDescent="0.25">
      <c r="A391" s="14" t="s">
        <v>1822</v>
      </c>
      <c r="B391" s="14">
        <v>12</v>
      </c>
      <c r="C391" s="8" t="s">
        <v>1129</v>
      </c>
      <c r="D391" s="28" t="s">
        <v>2039</v>
      </c>
      <c r="E391" s="12" t="s">
        <v>1286</v>
      </c>
      <c r="F391" s="1"/>
      <c r="G391" s="1">
        <v>19.202000000000002</v>
      </c>
      <c r="H391" s="1">
        <v>1.7000000000000001E-2</v>
      </c>
      <c r="I391" s="12">
        <f t="shared" si="111"/>
        <v>19.219000000000001</v>
      </c>
      <c r="J391" s="12">
        <f>27082.49277-19930.68741</f>
        <v>7151.8053600000021</v>
      </c>
      <c r="K391" s="12"/>
      <c r="L391" s="12">
        <f t="shared" si="112"/>
        <v>7151.8053600000021</v>
      </c>
      <c r="M391" s="12">
        <f t="shared" si="109"/>
        <v>372.12161714969568</v>
      </c>
      <c r="N391" s="12" t="e">
        <f t="shared" si="113"/>
        <v>#REF!</v>
      </c>
      <c r="O391" s="12" t="e">
        <f t="shared" si="114"/>
        <v>#REF!</v>
      </c>
      <c r="P391" s="12" t="e">
        <f t="shared" si="115"/>
        <v>#REF!</v>
      </c>
    </row>
    <row r="392" spans="1:16" ht="15.75" hidden="1" x14ac:dyDescent="0.25">
      <c r="A392" s="14" t="s">
        <v>1822</v>
      </c>
      <c r="B392" s="14">
        <v>13</v>
      </c>
      <c r="C392" s="8" t="s">
        <v>1129</v>
      </c>
      <c r="D392" s="28" t="s">
        <v>2040</v>
      </c>
      <c r="E392" s="12" t="s">
        <v>1287</v>
      </c>
      <c r="F392" s="1"/>
      <c r="G392" s="1">
        <v>92.664000000000001</v>
      </c>
      <c r="H392" s="1">
        <v>9.8000000000000004E-2</v>
      </c>
      <c r="I392" s="12">
        <f t="shared" si="111"/>
        <v>92.762</v>
      </c>
      <c r="J392" s="12">
        <v>47123.875030000003</v>
      </c>
      <c r="K392" s="12"/>
      <c r="L392" s="12">
        <f t="shared" si="112"/>
        <v>47123.875030000003</v>
      </c>
      <c r="M392" s="12">
        <f t="shared" si="109"/>
        <v>508.00839815872882</v>
      </c>
      <c r="N392" s="12" t="e">
        <f t="shared" si="113"/>
        <v>#REF!</v>
      </c>
      <c r="O392" s="12" t="e">
        <f t="shared" si="114"/>
        <v>#REF!</v>
      </c>
      <c r="P392" s="12" t="e">
        <f t="shared" si="115"/>
        <v>#REF!</v>
      </c>
    </row>
    <row r="393" spans="1:16" ht="15.75" hidden="1" x14ac:dyDescent="0.25">
      <c r="A393" s="14" t="s">
        <v>1822</v>
      </c>
      <c r="B393" s="14">
        <v>14</v>
      </c>
      <c r="C393" s="8" t="s">
        <v>1129</v>
      </c>
      <c r="D393" s="28" t="s">
        <v>2041</v>
      </c>
      <c r="E393" s="12" t="s">
        <v>1288</v>
      </c>
      <c r="F393" s="1"/>
      <c r="G393" s="1">
        <v>46.96</v>
      </c>
      <c r="H393" s="1">
        <v>4.3999999999999997E-2</v>
      </c>
      <c r="I393" s="12">
        <f t="shared" si="111"/>
        <v>47.003999999999998</v>
      </c>
      <c r="J393" s="12">
        <v>38970.545542</v>
      </c>
      <c r="K393" s="12"/>
      <c r="L393" s="12">
        <f t="shared" si="112"/>
        <v>38970.545542</v>
      </c>
      <c r="M393" s="12">
        <f t="shared" si="109"/>
        <v>829.0899825972258</v>
      </c>
      <c r="N393" s="12" t="e">
        <f t="shared" si="113"/>
        <v>#REF!</v>
      </c>
      <c r="O393" s="12" t="e">
        <f t="shared" si="114"/>
        <v>#REF!</v>
      </c>
      <c r="P393" s="12" t="e">
        <f t="shared" si="115"/>
        <v>#REF!</v>
      </c>
    </row>
    <row r="394" spans="1:16" ht="15.75" hidden="1" x14ac:dyDescent="0.25">
      <c r="A394" s="14" t="s">
        <v>1822</v>
      </c>
      <c r="B394" s="14">
        <v>15</v>
      </c>
      <c r="C394" s="8" t="s">
        <v>1129</v>
      </c>
      <c r="D394" s="28" t="s">
        <v>2042</v>
      </c>
      <c r="E394" s="12" t="s">
        <v>1289</v>
      </c>
      <c r="F394" s="1"/>
      <c r="G394" s="1">
        <v>143.44200000000001</v>
      </c>
      <c r="H394" s="1">
        <v>9.4000000000000014E-2</v>
      </c>
      <c r="I394" s="12">
        <f t="shared" si="111"/>
        <v>143.536</v>
      </c>
      <c r="J394" s="12">
        <v>47415.529840000003</v>
      </c>
      <c r="K394" s="12"/>
      <c r="L394" s="12">
        <f t="shared" si="112"/>
        <v>47415.529840000003</v>
      </c>
      <c r="M394" s="12">
        <f t="shared" si="109"/>
        <v>330.3389382454576</v>
      </c>
      <c r="N394" s="12" t="e">
        <f t="shared" si="113"/>
        <v>#REF!</v>
      </c>
      <c r="O394" s="12" t="e">
        <f t="shared" si="114"/>
        <v>#REF!</v>
      </c>
      <c r="P394" s="12" t="e">
        <f t="shared" si="115"/>
        <v>#REF!</v>
      </c>
    </row>
    <row r="395" spans="1:16" ht="15.75" hidden="1" x14ac:dyDescent="0.25">
      <c r="A395" s="14" t="s">
        <v>1822</v>
      </c>
      <c r="B395" s="14">
        <v>16</v>
      </c>
      <c r="C395" s="8" t="s">
        <v>1129</v>
      </c>
      <c r="D395" s="28" t="s">
        <v>2043</v>
      </c>
      <c r="E395" s="12" t="s">
        <v>1290</v>
      </c>
      <c r="F395" s="1"/>
      <c r="G395" s="1">
        <v>63.744</v>
      </c>
      <c r="H395" s="1">
        <v>0.13400000000000001</v>
      </c>
      <c r="I395" s="12">
        <f t="shared" si="111"/>
        <v>63.878</v>
      </c>
      <c r="J395" s="12">
        <f>98999.50803-5731.732746</f>
        <v>93267.775284000003</v>
      </c>
      <c r="K395" s="12"/>
      <c r="L395" s="12">
        <f t="shared" si="112"/>
        <v>93267.775284000003</v>
      </c>
      <c r="M395" s="12">
        <f t="shared" si="109"/>
        <v>1460.0922897398166</v>
      </c>
      <c r="N395" s="12" t="e">
        <f t="shared" si="113"/>
        <v>#REF!</v>
      </c>
      <c r="O395" s="12" t="e">
        <f t="shared" si="114"/>
        <v>#REF!</v>
      </c>
      <c r="P395" s="12" t="e">
        <f t="shared" si="115"/>
        <v>#REF!</v>
      </c>
    </row>
    <row r="396" spans="1:16" ht="15.75" hidden="1" x14ac:dyDescent="0.25">
      <c r="A396" s="14" t="s">
        <v>1822</v>
      </c>
      <c r="B396" s="14">
        <v>17</v>
      </c>
      <c r="C396" s="8" t="s">
        <v>1129</v>
      </c>
      <c r="D396" s="28" t="s">
        <v>2044</v>
      </c>
      <c r="E396" s="12" t="s">
        <v>1291</v>
      </c>
      <c r="F396" s="1"/>
      <c r="G396" s="1">
        <v>95.655000000000001</v>
      </c>
      <c r="H396" s="1">
        <v>7.2999999999999995E-2</v>
      </c>
      <c r="I396" s="12">
        <f t="shared" si="111"/>
        <v>95.727999999999994</v>
      </c>
      <c r="J396" s="12">
        <v>27788.348730000002</v>
      </c>
      <c r="K396" s="12"/>
      <c r="L396" s="12">
        <f t="shared" si="112"/>
        <v>27788.348730000002</v>
      </c>
      <c r="M396" s="12">
        <f t="shared" si="109"/>
        <v>290.28443851328768</v>
      </c>
      <c r="N396" s="12" t="e">
        <f t="shared" si="113"/>
        <v>#REF!</v>
      </c>
      <c r="O396" s="12" t="e">
        <f t="shared" si="114"/>
        <v>#REF!</v>
      </c>
      <c r="P396" s="12" t="e">
        <f t="shared" si="115"/>
        <v>#REF!</v>
      </c>
    </row>
    <row r="397" spans="1:16" ht="15.75" hidden="1" x14ac:dyDescent="0.25">
      <c r="A397" s="14" t="s">
        <v>1822</v>
      </c>
      <c r="B397" s="14" t="s">
        <v>1126</v>
      </c>
      <c r="C397" s="10" t="s">
        <v>1743</v>
      </c>
      <c r="D397" s="28"/>
      <c r="E397" s="37" t="s">
        <v>1747</v>
      </c>
      <c r="F397" s="13"/>
      <c r="G397" s="37">
        <f t="shared" ref="G397:L397" si="116">SUM(G398:G403)</f>
        <v>71.185999999999993</v>
      </c>
      <c r="H397" s="37">
        <f t="shared" si="116"/>
        <v>0.11699999999999999</v>
      </c>
      <c r="I397" s="37">
        <f t="shared" si="116"/>
        <v>71.302999999999997</v>
      </c>
      <c r="J397" s="37">
        <f t="shared" si="116"/>
        <v>84350.787185999987</v>
      </c>
      <c r="K397" s="37">
        <f t="shared" si="116"/>
        <v>0</v>
      </c>
      <c r="L397" s="37">
        <f t="shared" si="116"/>
        <v>84350.787185999987</v>
      </c>
      <c r="M397" s="37">
        <f t="shared" si="109"/>
        <v>1182.990718286748</v>
      </c>
      <c r="N397" s="37" t="e">
        <f>M397/$M$1429</f>
        <v>#REF!</v>
      </c>
      <c r="O397" s="37" t="e">
        <f>SUM(O398:O403)</f>
        <v>#REF!</v>
      </c>
      <c r="P397" s="37" t="e">
        <f>SUM(P398:P403)</f>
        <v>#REF!</v>
      </c>
    </row>
    <row r="398" spans="1:16" ht="15.75" hidden="1" x14ac:dyDescent="0.25">
      <c r="A398" s="14" t="s">
        <v>1822</v>
      </c>
      <c r="B398" s="14">
        <v>18</v>
      </c>
      <c r="C398" s="8" t="s">
        <v>1744</v>
      </c>
      <c r="D398" s="28" t="s">
        <v>2611</v>
      </c>
      <c r="E398" s="12" t="s">
        <v>2612</v>
      </c>
      <c r="F398" s="1"/>
      <c r="G398" s="1">
        <v>12.464</v>
      </c>
      <c r="H398" s="1">
        <v>1.2999999999999999E-2</v>
      </c>
      <c r="I398" s="12">
        <f t="shared" ref="I398:I403" si="117">H398+G398</f>
        <v>12.477</v>
      </c>
      <c r="J398" s="12">
        <v>3379.77729</v>
      </c>
      <c r="K398" s="12"/>
      <c r="L398" s="12">
        <f t="shared" ref="L398:L403" si="118">J398+K398</f>
        <v>3379.77729</v>
      </c>
      <c r="M398" s="12">
        <f t="shared" si="109"/>
        <v>270.88060351045925</v>
      </c>
      <c r="N398" s="12" t="e">
        <f t="shared" ref="N398:N403" si="119">M398/$M$1433</f>
        <v>#REF!</v>
      </c>
      <c r="O398" s="12" t="e">
        <f t="shared" ref="O398:O403" si="120">ROUND(IF(N398&lt;110%,0,(M398-$M$1433*1.1)*0.8)*I398,1)</f>
        <v>#REF!</v>
      </c>
      <c r="P398" s="12" t="e">
        <f t="shared" ref="P398:P403" si="121">ROUND(IF(N398&gt;90%,0,(-M398+$M$1433*0.9)*0.8)*I398,1)</f>
        <v>#REF!</v>
      </c>
    </row>
    <row r="399" spans="1:16" ht="15.75" hidden="1" x14ac:dyDescent="0.25">
      <c r="A399" s="14" t="s">
        <v>1822</v>
      </c>
      <c r="B399" s="14">
        <v>19</v>
      </c>
      <c r="C399" s="8" t="s">
        <v>1744</v>
      </c>
      <c r="D399" s="28" t="s">
        <v>2613</v>
      </c>
      <c r="E399" s="12" t="s">
        <v>2614</v>
      </c>
      <c r="F399" s="1"/>
      <c r="G399" s="1">
        <v>19.533000000000001</v>
      </c>
      <c r="H399" s="1">
        <v>2.9000000000000001E-2</v>
      </c>
      <c r="I399" s="12">
        <f t="shared" si="117"/>
        <v>19.562000000000001</v>
      </c>
      <c r="J399" s="12">
        <v>32746.00851</v>
      </c>
      <c r="K399" s="12"/>
      <c r="L399" s="12">
        <f t="shared" si="118"/>
        <v>32746.00851</v>
      </c>
      <c r="M399" s="12">
        <f t="shared" si="109"/>
        <v>1673.960152847357</v>
      </c>
      <c r="N399" s="12" t="e">
        <f t="shared" si="119"/>
        <v>#REF!</v>
      </c>
      <c r="O399" s="12" t="e">
        <f t="shared" si="120"/>
        <v>#REF!</v>
      </c>
      <c r="P399" s="12" t="e">
        <f t="shared" si="121"/>
        <v>#REF!</v>
      </c>
    </row>
    <row r="400" spans="1:16" ht="15.75" hidden="1" x14ac:dyDescent="0.25">
      <c r="A400" s="14" t="s">
        <v>1822</v>
      </c>
      <c r="B400" s="14">
        <v>20</v>
      </c>
      <c r="C400" s="8" t="s">
        <v>1744</v>
      </c>
      <c r="D400" s="28" t="s">
        <v>279</v>
      </c>
      <c r="E400" s="12" t="s">
        <v>280</v>
      </c>
      <c r="F400" s="1"/>
      <c r="G400" s="1">
        <v>7.6980000000000004</v>
      </c>
      <c r="H400" s="1">
        <v>1.9E-2</v>
      </c>
      <c r="I400" s="12">
        <f t="shared" si="117"/>
        <v>7.7170000000000005</v>
      </c>
      <c r="J400" s="12">
        <v>4736.2775879999999</v>
      </c>
      <c r="K400" s="12"/>
      <c r="L400" s="12">
        <f t="shared" si="118"/>
        <v>4736.2775879999999</v>
      </c>
      <c r="M400" s="12">
        <f t="shared" si="109"/>
        <v>613.74596190229363</v>
      </c>
      <c r="N400" s="12" t="e">
        <f t="shared" si="119"/>
        <v>#REF!</v>
      </c>
      <c r="O400" s="12" t="e">
        <f t="shared" si="120"/>
        <v>#REF!</v>
      </c>
      <c r="P400" s="12" t="e">
        <f t="shared" si="121"/>
        <v>#REF!</v>
      </c>
    </row>
    <row r="401" spans="1:16" ht="15.75" hidden="1" x14ac:dyDescent="0.25">
      <c r="A401" s="14" t="s">
        <v>1822</v>
      </c>
      <c r="B401" s="14">
        <v>21</v>
      </c>
      <c r="C401" s="8" t="s">
        <v>1744</v>
      </c>
      <c r="D401" s="28" t="s">
        <v>524</v>
      </c>
      <c r="E401" s="42" t="s">
        <v>710</v>
      </c>
      <c r="F401" s="43"/>
      <c r="G401" s="43">
        <v>11.241</v>
      </c>
      <c r="H401" s="43">
        <v>1.2E-2</v>
      </c>
      <c r="I401" s="12">
        <f t="shared" si="117"/>
        <v>11.253</v>
      </c>
      <c r="J401" s="42">
        <v>17826.303641999999</v>
      </c>
      <c r="K401" s="42"/>
      <c r="L401" s="42">
        <f t="shared" si="118"/>
        <v>17826.303641999999</v>
      </c>
      <c r="M401" s="42">
        <f t="shared" si="109"/>
        <v>1584.1378869634764</v>
      </c>
      <c r="N401" s="12" t="e">
        <f t="shared" si="119"/>
        <v>#REF!</v>
      </c>
      <c r="O401" s="12" t="e">
        <f t="shared" si="120"/>
        <v>#REF!</v>
      </c>
      <c r="P401" s="12" t="e">
        <f t="shared" si="121"/>
        <v>#REF!</v>
      </c>
    </row>
    <row r="402" spans="1:16" ht="15.75" hidden="1" x14ac:dyDescent="0.25">
      <c r="A402" s="14" t="s">
        <v>1822</v>
      </c>
      <c r="B402" s="14">
        <v>22</v>
      </c>
      <c r="C402" s="8" t="s">
        <v>1744</v>
      </c>
      <c r="D402" s="28" t="s">
        <v>525</v>
      </c>
      <c r="E402" s="42" t="s">
        <v>711</v>
      </c>
      <c r="F402" s="43"/>
      <c r="G402" s="43">
        <v>12.724</v>
      </c>
      <c r="H402" s="43">
        <v>2.7E-2</v>
      </c>
      <c r="I402" s="12">
        <f t="shared" si="117"/>
        <v>12.750999999999999</v>
      </c>
      <c r="J402" s="42">
        <v>19930.687409999999</v>
      </c>
      <c r="K402" s="42"/>
      <c r="L402" s="42">
        <f t="shared" si="118"/>
        <v>19930.687409999999</v>
      </c>
      <c r="M402" s="42">
        <f t="shared" si="109"/>
        <v>1563.0685757979766</v>
      </c>
      <c r="N402" s="12" t="e">
        <f t="shared" si="119"/>
        <v>#REF!</v>
      </c>
      <c r="O402" s="12" t="e">
        <f t="shared" si="120"/>
        <v>#REF!</v>
      </c>
      <c r="P402" s="12" t="e">
        <f t="shared" si="121"/>
        <v>#REF!</v>
      </c>
    </row>
    <row r="403" spans="1:16" ht="15.75" hidden="1" x14ac:dyDescent="0.25">
      <c r="A403" s="49" t="s">
        <v>1822</v>
      </c>
      <c r="B403" s="49">
        <v>23</v>
      </c>
      <c r="C403" s="50" t="s">
        <v>1744</v>
      </c>
      <c r="D403" s="51" t="s">
        <v>712</v>
      </c>
      <c r="E403" s="52" t="s">
        <v>713</v>
      </c>
      <c r="F403" s="53"/>
      <c r="G403" s="53">
        <v>7.5259999999999998</v>
      </c>
      <c r="H403" s="53">
        <v>1.7000000000000001E-2</v>
      </c>
      <c r="I403" s="12">
        <f t="shared" si="117"/>
        <v>7.5430000000000001</v>
      </c>
      <c r="J403" s="52">
        <v>5731.7327459999997</v>
      </c>
      <c r="K403" s="52"/>
      <c r="L403" s="52">
        <f t="shared" si="118"/>
        <v>5731.7327459999997</v>
      </c>
      <c r="M403" s="52">
        <f t="shared" si="109"/>
        <v>759.87441946175261</v>
      </c>
      <c r="N403" s="12" t="e">
        <f t="shared" si="119"/>
        <v>#REF!</v>
      </c>
      <c r="O403" s="12" t="e">
        <f t="shared" si="120"/>
        <v>#REF!</v>
      </c>
      <c r="P403" s="12" t="e">
        <f t="shared" si="121"/>
        <v>#REF!</v>
      </c>
    </row>
    <row r="404" spans="1:16" s="75" customFormat="1" ht="15.75" hidden="1" x14ac:dyDescent="0.25">
      <c r="A404" s="72" t="s">
        <v>1824</v>
      </c>
      <c r="B404" s="72" t="s">
        <v>1126</v>
      </c>
      <c r="C404" s="73" t="s">
        <v>1161</v>
      </c>
      <c r="D404" s="74"/>
      <c r="E404" s="71" t="s">
        <v>1315</v>
      </c>
      <c r="F404" s="76"/>
      <c r="G404" s="71">
        <f t="shared" ref="G404:L404" si="122">G405+G406+G412+G433</f>
        <v>1739.4879999999998</v>
      </c>
      <c r="H404" s="71">
        <f t="shared" si="122"/>
        <v>53.512</v>
      </c>
      <c r="I404" s="71">
        <f t="shared" si="122"/>
        <v>1793.0000000000002</v>
      </c>
      <c r="J404" s="71">
        <f t="shared" si="122"/>
        <v>3248401.3940000003</v>
      </c>
      <c r="K404" s="71">
        <f t="shared" si="122"/>
        <v>0</v>
      </c>
      <c r="L404" s="71">
        <f t="shared" si="122"/>
        <v>3248401.3940000003</v>
      </c>
      <c r="M404" s="71">
        <f>L404/I404</f>
        <v>1811.7129916341328</v>
      </c>
      <c r="N404" s="71" t="e">
        <f>M404/$M$1429</f>
        <v>#REF!</v>
      </c>
      <c r="O404" s="71" t="e">
        <f>O405+O406+O412+O433</f>
        <v>#REF!</v>
      </c>
      <c r="P404" s="71" t="e">
        <f>P405+P406+P412+P433</f>
        <v>#REF!</v>
      </c>
    </row>
    <row r="405" spans="1:16" ht="15.75" hidden="1" x14ac:dyDescent="0.25">
      <c r="A405" s="14" t="s">
        <v>1824</v>
      </c>
      <c r="B405" s="14" t="s">
        <v>1126</v>
      </c>
      <c r="C405" s="8" t="s">
        <v>1159</v>
      </c>
      <c r="D405" s="28" t="s">
        <v>2045</v>
      </c>
      <c r="E405" s="12" t="s">
        <v>1160</v>
      </c>
      <c r="F405" s="1"/>
      <c r="G405" s="1">
        <v>0</v>
      </c>
      <c r="H405" s="1">
        <v>0</v>
      </c>
      <c r="I405" s="12">
        <f>H405+G405</f>
        <v>0</v>
      </c>
      <c r="J405" s="12"/>
      <c r="K405" s="12"/>
      <c r="L405" s="12"/>
      <c r="M405" s="12"/>
      <c r="N405" s="12"/>
      <c r="O405" s="12"/>
      <c r="P405" s="12"/>
    </row>
    <row r="406" spans="1:16" ht="15.75" hidden="1" x14ac:dyDescent="0.25">
      <c r="A406" s="15" t="s">
        <v>1824</v>
      </c>
      <c r="B406" s="15" t="s">
        <v>1126</v>
      </c>
      <c r="C406" s="10" t="s">
        <v>1127</v>
      </c>
      <c r="D406" s="29"/>
      <c r="E406" s="37" t="s">
        <v>1128</v>
      </c>
      <c r="F406" s="6"/>
      <c r="G406" s="37">
        <f t="shared" ref="G406:L406" si="123">SUM(G407:G411)</f>
        <v>1108.0319999999997</v>
      </c>
      <c r="H406" s="37">
        <f>SUM(H407:H411)</f>
        <v>36.722999999999999</v>
      </c>
      <c r="I406" s="37">
        <f t="shared" si="123"/>
        <v>1144.7550000000001</v>
      </c>
      <c r="J406" s="37">
        <f t="shared" si="123"/>
        <v>2528410.0700000003</v>
      </c>
      <c r="K406" s="37">
        <f t="shared" si="123"/>
        <v>0</v>
      </c>
      <c r="L406" s="37">
        <f t="shared" si="123"/>
        <v>2528410.0700000003</v>
      </c>
      <c r="M406" s="37">
        <f t="shared" ref="M406:M467" si="124">L406/I406</f>
        <v>2208.6910037518946</v>
      </c>
      <c r="N406" s="37" t="e">
        <f>M406/$M$1429</f>
        <v>#REF!</v>
      </c>
      <c r="O406" s="37" t="e">
        <f>SUM(O407:O411)</f>
        <v>#REF!</v>
      </c>
      <c r="P406" s="37" t="e">
        <f>SUM(P407:P411)</f>
        <v>#REF!</v>
      </c>
    </row>
    <row r="407" spans="1:16" ht="15.75" hidden="1" x14ac:dyDescent="0.25">
      <c r="A407" s="14" t="s">
        <v>1824</v>
      </c>
      <c r="B407" s="14" t="s">
        <v>1811</v>
      </c>
      <c r="C407" s="8" t="s">
        <v>1119</v>
      </c>
      <c r="D407" s="28" t="s">
        <v>2046</v>
      </c>
      <c r="E407" s="12" t="s">
        <v>1292</v>
      </c>
      <c r="F407" s="1"/>
      <c r="G407" s="1">
        <v>750.68499999999995</v>
      </c>
      <c r="H407" s="1">
        <v>22.853999999999999</v>
      </c>
      <c r="I407" s="12">
        <f>H407+G407</f>
        <v>773.53899999999999</v>
      </c>
      <c r="J407" s="12">
        <v>1937866.9110000001</v>
      </c>
      <c r="K407" s="12"/>
      <c r="L407" s="12">
        <f>J407+K407</f>
        <v>1937866.9110000001</v>
      </c>
      <c r="M407" s="12">
        <f t="shared" si="124"/>
        <v>2505.196132321706</v>
      </c>
      <c r="N407" s="12" t="e">
        <f>M407/$M$1431</f>
        <v>#REF!</v>
      </c>
      <c r="O407" s="12" t="e">
        <f>ROUND(IF(N407&lt;110%,0,(M407-$M$1431*1.1)*0.8)*I407,1)</f>
        <v>#REF!</v>
      </c>
      <c r="P407" s="12" t="e">
        <f>ROUND(IF(N407&gt;90%,0,(-M407+$M$1431*0.9)*0.8)*I407,1)</f>
        <v>#REF!</v>
      </c>
    </row>
    <row r="408" spans="1:16" ht="15.75" hidden="1" x14ac:dyDescent="0.25">
      <c r="A408" s="14" t="s">
        <v>1824</v>
      </c>
      <c r="B408" s="14" t="s">
        <v>1810</v>
      </c>
      <c r="C408" s="8" t="s">
        <v>1119</v>
      </c>
      <c r="D408" s="28" t="s">
        <v>2047</v>
      </c>
      <c r="E408" s="12" t="s">
        <v>1293</v>
      </c>
      <c r="F408" s="1"/>
      <c r="G408" s="1">
        <v>116.20399999999999</v>
      </c>
      <c r="H408" s="1">
        <v>9.8420000000000005</v>
      </c>
      <c r="I408" s="12">
        <f>H408+G408</f>
        <v>126.04599999999999</v>
      </c>
      <c r="J408" s="12">
        <v>134729.93299999999</v>
      </c>
      <c r="K408" s="12"/>
      <c r="L408" s="12">
        <f>J408+K408</f>
        <v>134729.93299999999</v>
      </c>
      <c r="M408" s="12">
        <f t="shared" si="124"/>
        <v>1068.8949510496168</v>
      </c>
      <c r="N408" s="12" t="e">
        <f>M408/$M$1431</f>
        <v>#REF!</v>
      </c>
      <c r="O408" s="12" t="e">
        <f>ROUND(IF(N408&lt;110%,0,(M408-$M$1431*1.1)*0.8)*I408,1)</f>
        <v>#REF!</v>
      </c>
      <c r="P408" s="12" t="e">
        <f>ROUND(IF(N408&gt;90%,0,(-M408+$M$1431*0.9)*0.8)*I408,1)</f>
        <v>#REF!</v>
      </c>
    </row>
    <row r="409" spans="1:16" ht="15.75" hidden="1" x14ac:dyDescent="0.25">
      <c r="A409" s="14" t="s">
        <v>1824</v>
      </c>
      <c r="B409" s="14" t="s">
        <v>1850</v>
      </c>
      <c r="C409" s="8" t="s">
        <v>1119</v>
      </c>
      <c r="D409" s="28" t="s">
        <v>2048</v>
      </c>
      <c r="E409" s="12" t="s">
        <v>1294</v>
      </c>
      <c r="F409" s="1"/>
      <c r="G409" s="1">
        <v>54.280999999999999</v>
      </c>
      <c r="H409" s="1">
        <v>0.77100000000000002</v>
      </c>
      <c r="I409" s="12">
        <f>H409+G409</f>
        <v>55.052</v>
      </c>
      <c r="J409" s="12">
        <v>262830.83500000002</v>
      </c>
      <c r="K409" s="12"/>
      <c r="L409" s="12">
        <f>J409+K409</f>
        <v>262830.83500000002</v>
      </c>
      <c r="M409" s="12">
        <f t="shared" si="124"/>
        <v>4774.2286383782612</v>
      </c>
      <c r="N409" s="12" t="e">
        <f>M409/$M$1431</f>
        <v>#REF!</v>
      </c>
      <c r="O409" s="12" t="e">
        <f>ROUND(IF(N409&lt;110%,0,(M409-$M$1431*1.1)*0.8)*I409,1)</f>
        <v>#REF!</v>
      </c>
      <c r="P409" s="12" t="e">
        <f>ROUND(IF(N409&gt;90%,0,(-M409+$M$1431*0.9)*0.8)*I409,1)</f>
        <v>#REF!</v>
      </c>
    </row>
    <row r="410" spans="1:16" ht="15.75" hidden="1" x14ac:dyDescent="0.25">
      <c r="A410" s="14" t="s">
        <v>1824</v>
      </c>
      <c r="B410" s="14" t="s">
        <v>1855</v>
      </c>
      <c r="C410" s="8" t="s">
        <v>1119</v>
      </c>
      <c r="D410" s="28" t="s">
        <v>2049</v>
      </c>
      <c r="E410" s="12" t="s">
        <v>1295</v>
      </c>
      <c r="F410" s="1"/>
      <c r="G410" s="1">
        <v>154.99199999999999</v>
      </c>
      <c r="H410" s="1">
        <v>2.5569999999999999</v>
      </c>
      <c r="I410" s="12">
        <f>H410+G410</f>
        <v>157.54899999999998</v>
      </c>
      <c r="J410" s="12">
        <v>169026.34700000001</v>
      </c>
      <c r="K410" s="12"/>
      <c r="L410" s="12">
        <f>J410+K410</f>
        <v>169026.34700000001</v>
      </c>
      <c r="M410" s="12">
        <f t="shared" si="124"/>
        <v>1072.8493801928291</v>
      </c>
      <c r="N410" s="12" t="e">
        <f>M410/$M$1431</f>
        <v>#REF!</v>
      </c>
      <c r="O410" s="12" t="e">
        <f>ROUND(IF(N410&lt;110%,0,(M410-$M$1431*1.1)*0.8)*I410,1)</f>
        <v>#REF!</v>
      </c>
      <c r="P410" s="12" t="e">
        <f>ROUND(IF(N410&gt;90%,0,(-M410+$M$1431*0.9)*0.8)*I410,1)</f>
        <v>#REF!</v>
      </c>
    </row>
    <row r="411" spans="1:16" ht="15.75" hidden="1" x14ac:dyDescent="0.25">
      <c r="A411" s="14" t="s">
        <v>1824</v>
      </c>
      <c r="B411" s="14" t="s">
        <v>1818</v>
      </c>
      <c r="C411" s="8" t="s">
        <v>1119</v>
      </c>
      <c r="D411" s="28" t="s">
        <v>2050</v>
      </c>
      <c r="E411" s="12" t="s">
        <v>1296</v>
      </c>
      <c r="F411" s="1"/>
      <c r="G411" s="1">
        <v>31.87</v>
      </c>
      <c r="H411" s="1">
        <v>0.69899999999999995</v>
      </c>
      <c r="I411" s="12">
        <f>H411+G411</f>
        <v>32.569000000000003</v>
      </c>
      <c r="J411" s="12">
        <v>23956.044000000002</v>
      </c>
      <c r="K411" s="12"/>
      <c r="L411" s="12">
        <f>J411+K411</f>
        <v>23956.044000000002</v>
      </c>
      <c r="M411" s="12">
        <f t="shared" si="124"/>
        <v>735.54742239552945</v>
      </c>
      <c r="N411" s="12" t="e">
        <f>M411/$M$1431</f>
        <v>#REF!</v>
      </c>
      <c r="O411" s="12" t="e">
        <f>ROUND(IF(N411&lt;110%,0,(M411-$M$1431*1.1)*0.8)*I411,1)</f>
        <v>#REF!</v>
      </c>
      <c r="P411" s="12" t="e">
        <f>ROUND(IF(N411&gt;90%,0,(-M411+$M$1431*0.9)*0.8)*I411,1)</f>
        <v>#REF!</v>
      </c>
    </row>
    <row r="412" spans="1:16" ht="15.75" hidden="1" x14ac:dyDescent="0.25">
      <c r="A412" s="15" t="s">
        <v>1824</v>
      </c>
      <c r="B412" s="15" t="s">
        <v>1126</v>
      </c>
      <c r="C412" s="10" t="s">
        <v>1157</v>
      </c>
      <c r="D412" s="29"/>
      <c r="E412" s="37" t="s">
        <v>1158</v>
      </c>
      <c r="F412" s="6"/>
      <c r="G412" s="37">
        <f t="shared" ref="G412:L412" si="125">SUM(G413:G432)</f>
        <v>349.35700000000003</v>
      </c>
      <c r="H412" s="37">
        <f>SUM(H413:H432)</f>
        <v>8.7360000000000024</v>
      </c>
      <c r="I412" s="37">
        <f t="shared" si="125"/>
        <v>358.09300000000007</v>
      </c>
      <c r="J412" s="37">
        <f t="shared" si="125"/>
        <v>450385.94399999996</v>
      </c>
      <c r="K412" s="37">
        <f t="shared" si="125"/>
        <v>0</v>
      </c>
      <c r="L412" s="37">
        <f t="shared" si="125"/>
        <v>450385.94399999996</v>
      </c>
      <c r="M412" s="37">
        <f t="shared" si="124"/>
        <v>1257.7345661601871</v>
      </c>
      <c r="N412" s="37" t="e">
        <f>M412/$M$1429</f>
        <v>#REF!</v>
      </c>
      <c r="O412" s="37" t="e">
        <f>SUM(O413:O432)</f>
        <v>#REF!</v>
      </c>
      <c r="P412" s="37" t="e">
        <f>SUM(P413:P432)</f>
        <v>#REF!</v>
      </c>
    </row>
    <row r="413" spans="1:16" ht="15.75" hidden="1" x14ac:dyDescent="0.25">
      <c r="A413" s="14" t="s">
        <v>1824</v>
      </c>
      <c r="B413" s="14" t="s">
        <v>1820</v>
      </c>
      <c r="C413" s="8" t="s">
        <v>1129</v>
      </c>
      <c r="D413" s="28" t="s">
        <v>2051</v>
      </c>
      <c r="E413" s="12" t="s">
        <v>1297</v>
      </c>
      <c r="F413" s="1"/>
      <c r="G413" s="1">
        <v>12.76</v>
      </c>
      <c r="H413" s="1">
        <v>0.63600000000000001</v>
      </c>
      <c r="I413" s="12">
        <f t="shared" ref="I413:I432" si="126">H413+G413</f>
        <v>13.395999999999999</v>
      </c>
      <c r="J413" s="12">
        <v>14982.154</v>
      </c>
      <c r="K413" s="12"/>
      <c r="L413" s="12">
        <f t="shared" ref="L413:L432" si="127">J413+K413</f>
        <v>14982.154</v>
      </c>
      <c r="M413" s="12">
        <f t="shared" si="124"/>
        <v>1118.4050462824725</v>
      </c>
      <c r="N413" s="12" t="e">
        <f t="shared" ref="N413:N432" si="128">M413/$M$1432</f>
        <v>#REF!</v>
      </c>
      <c r="O413" s="12" t="e">
        <f t="shared" ref="O413:O432" si="129">ROUND(IF(N413&lt;110%,0,(M413-$M$1432*1.1)*0.8)*I413,1)</f>
        <v>#REF!</v>
      </c>
      <c r="P413" s="12" t="e">
        <f t="shared" ref="P413:P432" si="130">ROUND(IF(N413&gt;90%,0,(-M413+$M$1432*0.9)*0.8)*I413,1)</f>
        <v>#REF!</v>
      </c>
    </row>
    <row r="414" spans="1:16" ht="15.75" hidden="1" x14ac:dyDescent="0.25">
      <c r="A414" s="14" t="s">
        <v>1824</v>
      </c>
      <c r="B414" s="14" t="s">
        <v>1822</v>
      </c>
      <c r="C414" s="8" t="s">
        <v>1129</v>
      </c>
      <c r="D414" s="28" t="s">
        <v>2052</v>
      </c>
      <c r="E414" s="12" t="s">
        <v>1298</v>
      </c>
      <c r="F414" s="1"/>
      <c r="G414" s="1">
        <v>61.3</v>
      </c>
      <c r="H414" s="1">
        <v>0.76200000000000001</v>
      </c>
      <c r="I414" s="12">
        <f t="shared" si="126"/>
        <v>62.061999999999998</v>
      </c>
      <c r="J414" s="12">
        <f>112275.489-1829.889</f>
        <v>110445.6</v>
      </c>
      <c r="K414" s="12"/>
      <c r="L414" s="12">
        <f t="shared" si="127"/>
        <v>110445.6</v>
      </c>
      <c r="M414" s="12">
        <f t="shared" si="124"/>
        <v>1779.6010441171734</v>
      </c>
      <c r="N414" s="12" t="e">
        <f t="shared" si="128"/>
        <v>#REF!</v>
      </c>
      <c r="O414" s="12" t="e">
        <f t="shared" si="129"/>
        <v>#REF!</v>
      </c>
      <c r="P414" s="12" t="e">
        <f t="shared" si="130"/>
        <v>#REF!</v>
      </c>
    </row>
    <row r="415" spans="1:16" ht="15.75" hidden="1" x14ac:dyDescent="0.25">
      <c r="A415" s="14" t="s">
        <v>1824</v>
      </c>
      <c r="B415" s="14" t="s">
        <v>1824</v>
      </c>
      <c r="C415" s="8" t="s">
        <v>1129</v>
      </c>
      <c r="D415" s="28" t="s">
        <v>2053</v>
      </c>
      <c r="E415" s="47" t="s">
        <v>1299</v>
      </c>
      <c r="F415" s="48"/>
      <c r="G415" s="48">
        <v>0</v>
      </c>
      <c r="H415" s="48">
        <v>0</v>
      </c>
      <c r="I415" s="12">
        <f t="shared" si="126"/>
        <v>0</v>
      </c>
      <c r="J415" s="47">
        <f>10198.826-10198.826</f>
        <v>0</v>
      </c>
      <c r="K415" s="47"/>
      <c r="L415" s="47"/>
      <c r="M415" s="47"/>
      <c r="N415" s="12" t="e">
        <f t="shared" si="128"/>
        <v>#REF!</v>
      </c>
      <c r="O415" s="12" t="e">
        <f t="shared" si="129"/>
        <v>#REF!</v>
      </c>
      <c r="P415" s="12" t="e">
        <f t="shared" si="130"/>
        <v>#REF!</v>
      </c>
    </row>
    <row r="416" spans="1:16" ht="15.75" hidden="1" x14ac:dyDescent="0.25">
      <c r="A416" s="14" t="s">
        <v>1824</v>
      </c>
      <c r="B416" s="14" t="s">
        <v>1826</v>
      </c>
      <c r="C416" s="8" t="s">
        <v>1129</v>
      </c>
      <c r="D416" s="28" t="s">
        <v>2054</v>
      </c>
      <c r="E416" s="12" t="s">
        <v>1300</v>
      </c>
      <c r="F416" s="1"/>
      <c r="G416" s="1">
        <v>1.6519999999999999</v>
      </c>
      <c r="H416" s="1">
        <v>8.0000000000000002E-3</v>
      </c>
      <c r="I416" s="12">
        <f t="shared" si="126"/>
        <v>1.66</v>
      </c>
      <c r="J416" s="12">
        <f>7645.671-2979.845-2875.981</f>
        <v>1789.8450000000007</v>
      </c>
      <c r="K416" s="12"/>
      <c r="L416" s="12">
        <f t="shared" si="127"/>
        <v>1789.8450000000007</v>
      </c>
      <c r="M416" s="12">
        <f t="shared" si="124"/>
        <v>1078.2198795180727</v>
      </c>
      <c r="N416" s="12" t="e">
        <f t="shared" si="128"/>
        <v>#REF!</v>
      </c>
      <c r="O416" s="12" t="e">
        <f t="shared" si="129"/>
        <v>#REF!</v>
      </c>
      <c r="P416" s="12" t="e">
        <f t="shared" si="130"/>
        <v>#REF!</v>
      </c>
    </row>
    <row r="417" spans="1:16" ht="15.75" hidden="1" x14ac:dyDescent="0.25">
      <c r="A417" s="14" t="s">
        <v>1824</v>
      </c>
      <c r="B417" s="14">
        <v>10</v>
      </c>
      <c r="C417" s="8" t="s">
        <v>1129</v>
      </c>
      <c r="D417" s="28" t="s">
        <v>2055</v>
      </c>
      <c r="E417" s="12" t="s">
        <v>1301</v>
      </c>
      <c r="F417" s="1"/>
      <c r="G417" s="1">
        <v>40.683</v>
      </c>
      <c r="H417" s="1">
        <v>0.66400000000000003</v>
      </c>
      <c r="I417" s="12">
        <f t="shared" si="126"/>
        <v>41.347000000000001</v>
      </c>
      <c r="J417" s="12">
        <f>53644.924-3909.381-2850.47</f>
        <v>46885.072999999997</v>
      </c>
      <c r="K417" s="12"/>
      <c r="L417" s="12">
        <f t="shared" si="127"/>
        <v>46885.072999999997</v>
      </c>
      <c r="M417" s="12">
        <f t="shared" si="124"/>
        <v>1133.9413500374874</v>
      </c>
      <c r="N417" s="12" t="e">
        <f t="shared" si="128"/>
        <v>#REF!</v>
      </c>
      <c r="O417" s="12" t="e">
        <f t="shared" si="129"/>
        <v>#REF!</v>
      </c>
      <c r="P417" s="12" t="e">
        <f t="shared" si="130"/>
        <v>#REF!</v>
      </c>
    </row>
    <row r="418" spans="1:16" ht="15.75" hidden="1" x14ac:dyDescent="0.25">
      <c r="A418" s="14" t="s">
        <v>1824</v>
      </c>
      <c r="B418" s="14">
        <v>11</v>
      </c>
      <c r="C418" s="8" t="s">
        <v>1129</v>
      </c>
      <c r="D418" s="28" t="s">
        <v>2056</v>
      </c>
      <c r="E418" s="12" t="s">
        <v>1302</v>
      </c>
      <c r="F418" s="1"/>
      <c r="G418" s="1">
        <v>7.7839999999999998</v>
      </c>
      <c r="H418" s="1">
        <v>0.38900000000000001</v>
      </c>
      <c r="I418" s="12">
        <f t="shared" si="126"/>
        <v>8.173</v>
      </c>
      <c r="J418" s="12">
        <f>38593.802-18286.07-5915.513</f>
        <v>14392.219000000005</v>
      </c>
      <c r="K418" s="12"/>
      <c r="L418" s="12">
        <f t="shared" si="127"/>
        <v>14392.219000000005</v>
      </c>
      <c r="M418" s="12">
        <f t="shared" si="124"/>
        <v>1760.9468983237496</v>
      </c>
      <c r="N418" s="12" t="e">
        <f t="shared" si="128"/>
        <v>#REF!</v>
      </c>
      <c r="O418" s="12" t="e">
        <f t="shared" si="129"/>
        <v>#REF!</v>
      </c>
      <c r="P418" s="12" t="e">
        <f t="shared" si="130"/>
        <v>#REF!</v>
      </c>
    </row>
    <row r="419" spans="1:16" ht="15.75" hidden="1" x14ac:dyDescent="0.25">
      <c r="A419" s="14" t="s">
        <v>1824</v>
      </c>
      <c r="B419" s="14">
        <v>12</v>
      </c>
      <c r="C419" s="8" t="s">
        <v>1129</v>
      </c>
      <c r="D419" s="28" t="s">
        <v>2057</v>
      </c>
      <c r="E419" s="12" t="s">
        <v>1303</v>
      </c>
      <c r="F419" s="1"/>
      <c r="G419" s="1">
        <v>30.491</v>
      </c>
      <c r="H419" s="1">
        <v>0.185</v>
      </c>
      <c r="I419" s="12">
        <f t="shared" si="126"/>
        <v>30.675999999999998</v>
      </c>
      <c r="J419" s="12">
        <f>25882.109-15879.991</f>
        <v>10002.118</v>
      </c>
      <c r="K419" s="12"/>
      <c r="L419" s="12">
        <f t="shared" si="127"/>
        <v>10002.118</v>
      </c>
      <c r="M419" s="12">
        <f t="shared" si="124"/>
        <v>326.05678706480637</v>
      </c>
      <c r="N419" s="12" t="e">
        <f t="shared" si="128"/>
        <v>#REF!</v>
      </c>
      <c r="O419" s="12" t="e">
        <f t="shared" si="129"/>
        <v>#REF!</v>
      </c>
      <c r="P419" s="12" t="e">
        <f t="shared" si="130"/>
        <v>#REF!</v>
      </c>
    </row>
    <row r="420" spans="1:16" ht="15.75" hidden="1" x14ac:dyDescent="0.25">
      <c r="A420" s="14" t="s">
        <v>1824</v>
      </c>
      <c r="B420" s="14">
        <v>13</v>
      </c>
      <c r="C420" s="8" t="s">
        <v>1129</v>
      </c>
      <c r="D420" s="28" t="s">
        <v>2058</v>
      </c>
      <c r="E420" s="12" t="s">
        <v>2059</v>
      </c>
      <c r="F420" s="1"/>
      <c r="G420" s="1">
        <v>3.0430000000000001</v>
      </c>
      <c r="H420" s="1">
        <v>2.5000000000000001E-2</v>
      </c>
      <c r="I420" s="12">
        <f t="shared" si="126"/>
        <v>3.0680000000000001</v>
      </c>
      <c r="J420" s="12">
        <f>23848.525-16130.207-3178.031-2030.516</f>
        <v>2509.7710000000011</v>
      </c>
      <c r="K420" s="12"/>
      <c r="L420" s="12">
        <f t="shared" si="127"/>
        <v>2509.7710000000011</v>
      </c>
      <c r="M420" s="12">
        <f t="shared" si="124"/>
        <v>818.04791395045663</v>
      </c>
      <c r="N420" s="12" t="e">
        <f t="shared" si="128"/>
        <v>#REF!</v>
      </c>
      <c r="O420" s="12" t="e">
        <f t="shared" si="129"/>
        <v>#REF!</v>
      </c>
      <c r="P420" s="12" t="e">
        <f t="shared" si="130"/>
        <v>#REF!</v>
      </c>
    </row>
    <row r="421" spans="1:16" ht="15.75" hidden="1" x14ac:dyDescent="0.25">
      <c r="A421" s="14" t="s">
        <v>1824</v>
      </c>
      <c r="B421" s="14">
        <v>14</v>
      </c>
      <c r="C421" s="8" t="s">
        <v>1129</v>
      </c>
      <c r="D421" s="28" t="s">
        <v>2060</v>
      </c>
      <c r="E421" s="12" t="s">
        <v>714</v>
      </c>
      <c r="F421" s="1"/>
      <c r="G421" s="1">
        <v>12.374000000000001</v>
      </c>
      <c r="H421" s="1">
        <v>2.0569999999999999</v>
      </c>
      <c r="I421" s="12">
        <f t="shared" si="126"/>
        <v>14.431000000000001</v>
      </c>
      <c r="J421" s="12">
        <v>16196.321</v>
      </c>
      <c r="K421" s="12"/>
      <c r="L421" s="12">
        <f t="shared" si="127"/>
        <v>16196.321</v>
      </c>
      <c r="M421" s="12">
        <f t="shared" si="124"/>
        <v>1122.3283902709445</v>
      </c>
      <c r="N421" s="12" t="e">
        <f t="shared" si="128"/>
        <v>#REF!</v>
      </c>
      <c r="O421" s="12" t="e">
        <f t="shared" si="129"/>
        <v>#REF!</v>
      </c>
      <c r="P421" s="12" t="e">
        <f t="shared" si="130"/>
        <v>#REF!</v>
      </c>
    </row>
    <row r="422" spans="1:16" ht="15.75" hidden="1" x14ac:dyDescent="0.25">
      <c r="A422" s="14" t="s">
        <v>1824</v>
      </c>
      <c r="B422" s="14">
        <v>15</v>
      </c>
      <c r="C422" s="8" t="s">
        <v>1129</v>
      </c>
      <c r="D422" s="28" t="s">
        <v>2061</v>
      </c>
      <c r="E422" s="12" t="s">
        <v>1304</v>
      </c>
      <c r="F422" s="1"/>
      <c r="G422" s="1">
        <v>45.085000000000001</v>
      </c>
      <c r="H422" s="1">
        <v>0.44</v>
      </c>
      <c r="I422" s="12">
        <f t="shared" si="126"/>
        <v>45.524999999999999</v>
      </c>
      <c r="J422" s="12">
        <f>68403.249-3440.867</f>
        <v>64962.381999999998</v>
      </c>
      <c r="K422" s="12"/>
      <c r="L422" s="12">
        <f t="shared" si="127"/>
        <v>64962.381999999998</v>
      </c>
      <c r="M422" s="12">
        <f t="shared" si="124"/>
        <v>1426.9606150466777</v>
      </c>
      <c r="N422" s="12" t="e">
        <f t="shared" si="128"/>
        <v>#REF!</v>
      </c>
      <c r="O422" s="12" t="e">
        <f t="shared" si="129"/>
        <v>#REF!</v>
      </c>
      <c r="P422" s="12" t="e">
        <f t="shared" si="130"/>
        <v>#REF!</v>
      </c>
    </row>
    <row r="423" spans="1:16" ht="15.75" hidden="1" x14ac:dyDescent="0.25">
      <c r="A423" s="14" t="s">
        <v>1824</v>
      </c>
      <c r="B423" s="14">
        <v>16</v>
      </c>
      <c r="C423" s="8" t="s">
        <v>1129</v>
      </c>
      <c r="D423" s="28" t="s">
        <v>2062</v>
      </c>
      <c r="E423" s="12" t="s">
        <v>1305</v>
      </c>
      <c r="F423" s="1"/>
      <c r="G423" s="1">
        <v>24.542000000000002</v>
      </c>
      <c r="H423" s="1">
        <v>0.20699999999999999</v>
      </c>
      <c r="I423" s="12">
        <f t="shared" si="126"/>
        <v>24.749000000000002</v>
      </c>
      <c r="J423" s="12">
        <f>25855.104-994.3-3425</f>
        <v>21435.804</v>
      </c>
      <c r="K423" s="12"/>
      <c r="L423" s="12">
        <f t="shared" si="127"/>
        <v>21435.804</v>
      </c>
      <c r="M423" s="12">
        <f t="shared" si="124"/>
        <v>866.12808598327194</v>
      </c>
      <c r="N423" s="12" t="e">
        <f t="shared" si="128"/>
        <v>#REF!</v>
      </c>
      <c r="O423" s="12" t="e">
        <f t="shared" si="129"/>
        <v>#REF!</v>
      </c>
      <c r="P423" s="12" t="e">
        <f t="shared" si="130"/>
        <v>#REF!</v>
      </c>
    </row>
    <row r="424" spans="1:16" ht="15.75" hidden="1" x14ac:dyDescent="0.25">
      <c r="A424" s="14" t="s">
        <v>1824</v>
      </c>
      <c r="B424" s="14">
        <v>17</v>
      </c>
      <c r="C424" s="8" t="s">
        <v>1129</v>
      </c>
      <c r="D424" s="28" t="s">
        <v>2063</v>
      </c>
      <c r="E424" s="12" t="s">
        <v>1306</v>
      </c>
      <c r="F424" s="1"/>
      <c r="G424" s="1">
        <v>15.891</v>
      </c>
      <c r="H424" s="1">
        <v>0.21299999999999999</v>
      </c>
      <c r="I424" s="12">
        <f t="shared" si="126"/>
        <v>16.103999999999999</v>
      </c>
      <c r="J424" s="12">
        <v>22541.491000000002</v>
      </c>
      <c r="K424" s="12"/>
      <c r="L424" s="12">
        <f t="shared" si="127"/>
        <v>22541.491000000002</v>
      </c>
      <c r="M424" s="12">
        <f t="shared" si="124"/>
        <v>1399.7448460009937</v>
      </c>
      <c r="N424" s="12" t="e">
        <f t="shared" si="128"/>
        <v>#REF!</v>
      </c>
      <c r="O424" s="12" t="e">
        <f t="shared" si="129"/>
        <v>#REF!</v>
      </c>
      <c r="P424" s="12" t="e">
        <f t="shared" si="130"/>
        <v>#REF!</v>
      </c>
    </row>
    <row r="425" spans="1:16" ht="15.75" hidden="1" x14ac:dyDescent="0.25">
      <c r="A425" s="14" t="s">
        <v>1824</v>
      </c>
      <c r="B425" s="14">
        <v>18</v>
      </c>
      <c r="C425" s="8" t="s">
        <v>1129</v>
      </c>
      <c r="D425" s="28" t="s">
        <v>2064</v>
      </c>
      <c r="E425" s="47" t="s">
        <v>1307</v>
      </c>
      <c r="F425" s="48"/>
      <c r="G425" s="48">
        <v>0</v>
      </c>
      <c r="H425" s="48">
        <v>0</v>
      </c>
      <c r="I425" s="12">
        <f t="shared" si="126"/>
        <v>0</v>
      </c>
      <c r="J425" s="47">
        <f>21185.357-21185.357</f>
        <v>0</v>
      </c>
      <c r="K425" s="47"/>
      <c r="L425" s="47"/>
      <c r="M425" s="47"/>
      <c r="N425" s="12" t="e">
        <f t="shared" si="128"/>
        <v>#REF!</v>
      </c>
      <c r="O425" s="12" t="e">
        <f t="shared" si="129"/>
        <v>#REF!</v>
      </c>
      <c r="P425" s="12" t="e">
        <f t="shared" si="130"/>
        <v>#REF!</v>
      </c>
    </row>
    <row r="426" spans="1:16" ht="15.75" hidden="1" x14ac:dyDescent="0.25">
      <c r="A426" s="14" t="s">
        <v>1824</v>
      </c>
      <c r="B426" s="14">
        <v>19</v>
      </c>
      <c r="C426" s="8" t="s">
        <v>1129</v>
      </c>
      <c r="D426" s="28" t="s">
        <v>2065</v>
      </c>
      <c r="E426" s="12" t="s">
        <v>1308</v>
      </c>
      <c r="F426" s="1"/>
      <c r="G426" s="1">
        <v>34.491</v>
      </c>
      <c r="H426" s="1">
        <v>1.8759999999999999</v>
      </c>
      <c r="I426" s="12">
        <f t="shared" si="126"/>
        <v>36.366999999999997</v>
      </c>
      <c r="J426" s="12">
        <v>68008.448999999993</v>
      </c>
      <c r="K426" s="12"/>
      <c r="L426" s="12">
        <f t="shared" si="127"/>
        <v>68008.448999999993</v>
      </c>
      <c r="M426" s="12">
        <f t="shared" si="124"/>
        <v>1870.0593670085516</v>
      </c>
      <c r="N426" s="12" t="e">
        <f t="shared" si="128"/>
        <v>#REF!</v>
      </c>
      <c r="O426" s="12" t="e">
        <f t="shared" si="129"/>
        <v>#REF!</v>
      </c>
      <c r="P426" s="12" t="e">
        <f t="shared" si="130"/>
        <v>#REF!</v>
      </c>
    </row>
    <row r="427" spans="1:16" ht="15.75" hidden="1" x14ac:dyDescent="0.25">
      <c r="A427" s="14" t="s">
        <v>1824</v>
      </c>
      <c r="B427" s="14">
        <v>20</v>
      </c>
      <c r="C427" s="8" t="s">
        <v>1129</v>
      </c>
      <c r="D427" s="28" t="s">
        <v>2066</v>
      </c>
      <c r="E427" s="12" t="s">
        <v>1309</v>
      </c>
      <c r="F427" s="1"/>
      <c r="G427" s="1">
        <v>15.225</v>
      </c>
      <c r="H427" s="1">
        <v>0.23799999999999999</v>
      </c>
      <c r="I427" s="12">
        <f t="shared" si="126"/>
        <v>15.462999999999999</v>
      </c>
      <c r="J427" s="12">
        <f>19901.068-8706.897</f>
        <v>11194.170999999998</v>
      </c>
      <c r="K427" s="12"/>
      <c r="L427" s="12">
        <f t="shared" si="127"/>
        <v>11194.170999999998</v>
      </c>
      <c r="M427" s="12">
        <f t="shared" si="124"/>
        <v>723.93267800556157</v>
      </c>
      <c r="N427" s="12" t="e">
        <f t="shared" si="128"/>
        <v>#REF!</v>
      </c>
      <c r="O427" s="12" t="e">
        <f t="shared" si="129"/>
        <v>#REF!</v>
      </c>
      <c r="P427" s="12" t="e">
        <f t="shared" si="130"/>
        <v>#REF!</v>
      </c>
    </row>
    <row r="428" spans="1:16" ht="15.75" hidden="1" x14ac:dyDescent="0.25">
      <c r="A428" s="14" t="s">
        <v>1824</v>
      </c>
      <c r="B428" s="14">
        <v>21</v>
      </c>
      <c r="C428" s="8" t="s">
        <v>1129</v>
      </c>
      <c r="D428" s="28" t="s">
        <v>2067</v>
      </c>
      <c r="E428" s="12" t="s">
        <v>1310</v>
      </c>
      <c r="F428" s="1"/>
      <c r="G428" s="1">
        <v>13.170999999999999</v>
      </c>
      <c r="H428" s="1">
        <v>0.33500000000000002</v>
      </c>
      <c r="I428" s="12">
        <f t="shared" si="126"/>
        <v>13.506</v>
      </c>
      <c r="J428" s="12">
        <f>13452.61-2145.46</f>
        <v>11307.150000000001</v>
      </c>
      <c r="K428" s="12"/>
      <c r="L428" s="12">
        <f t="shared" si="127"/>
        <v>11307.150000000001</v>
      </c>
      <c r="M428" s="12">
        <f t="shared" si="124"/>
        <v>837.19458018658383</v>
      </c>
      <c r="N428" s="12" t="e">
        <f t="shared" si="128"/>
        <v>#REF!</v>
      </c>
      <c r="O428" s="12" t="e">
        <f t="shared" si="129"/>
        <v>#REF!</v>
      </c>
      <c r="P428" s="12" t="e">
        <f t="shared" si="130"/>
        <v>#REF!</v>
      </c>
    </row>
    <row r="429" spans="1:16" ht="15.75" hidden="1" x14ac:dyDescent="0.25">
      <c r="A429" s="14" t="s">
        <v>1824</v>
      </c>
      <c r="B429" s="14">
        <v>22</v>
      </c>
      <c r="C429" s="8" t="s">
        <v>1129</v>
      </c>
      <c r="D429" s="28" t="s">
        <v>2068</v>
      </c>
      <c r="E429" s="12" t="s">
        <v>1311</v>
      </c>
      <c r="F429" s="1"/>
      <c r="G429" s="1">
        <v>8.798</v>
      </c>
      <c r="H429" s="1">
        <v>0.47499999999999998</v>
      </c>
      <c r="I429" s="12">
        <f t="shared" si="126"/>
        <v>9.2729999999999997</v>
      </c>
      <c r="J429" s="12">
        <v>11163.101000000001</v>
      </c>
      <c r="K429" s="12"/>
      <c r="L429" s="12">
        <f t="shared" si="127"/>
        <v>11163.101000000001</v>
      </c>
      <c r="M429" s="12">
        <f t="shared" si="124"/>
        <v>1203.8284266149035</v>
      </c>
      <c r="N429" s="12" t="e">
        <f t="shared" si="128"/>
        <v>#REF!</v>
      </c>
      <c r="O429" s="12" t="e">
        <f t="shared" si="129"/>
        <v>#REF!</v>
      </c>
      <c r="P429" s="12" t="e">
        <f t="shared" si="130"/>
        <v>#REF!</v>
      </c>
    </row>
    <row r="430" spans="1:16" ht="15.75" hidden="1" x14ac:dyDescent="0.25">
      <c r="A430" s="14" t="s">
        <v>1824</v>
      </c>
      <c r="B430" s="14">
        <v>23</v>
      </c>
      <c r="C430" s="8" t="s">
        <v>1129</v>
      </c>
      <c r="D430" s="28" t="s">
        <v>2069</v>
      </c>
      <c r="E430" s="12" t="s">
        <v>1312</v>
      </c>
      <c r="F430" s="1"/>
      <c r="G430" s="1">
        <v>19.495999999999999</v>
      </c>
      <c r="H430" s="1">
        <v>0.191</v>
      </c>
      <c r="I430" s="12">
        <f t="shared" si="126"/>
        <v>19.686999999999998</v>
      </c>
      <c r="J430" s="12">
        <v>21217.989000000001</v>
      </c>
      <c r="K430" s="12"/>
      <c r="L430" s="12">
        <f t="shared" si="127"/>
        <v>21217.989000000001</v>
      </c>
      <c r="M430" s="12">
        <f t="shared" si="124"/>
        <v>1077.7664956570327</v>
      </c>
      <c r="N430" s="12" t="e">
        <f t="shared" si="128"/>
        <v>#REF!</v>
      </c>
      <c r="O430" s="12" t="e">
        <f t="shared" si="129"/>
        <v>#REF!</v>
      </c>
      <c r="P430" s="12" t="e">
        <f t="shared" si="130"/>
        <v>#REF!</v>
      </c>
    </row>
    <row r="431" spans="1:16" ht="15.75" hidden="1" x14ac:dyDescent="0.25">
      <c r="A431" s="14" t="s">
        <v>1824</v>
      </c>
      <c r="B431" s="14">
        <v>24</v>
      </c>
      <c r="C431" s="8" t="s">
        <v>1129</v>
      </c>
      <c r="D431" s="28" t="s">
        <v>2070</v>
      </c>
      <c r="E431" s="47" t="s">
        <v>1313</v>
      </c>
      <c r="F431" s="48"/>
      <c r="G431" s="48">
        <v>0</v>
      </c>
      <c r="H431" s="48">
        <v>0</v>
      </c>
      <c r="I431" s="12">
        <f t="shared" si="126"/>
        <v>0</v>
      </c>
      <c r="J431" s="47">
        <f>19102.729-19102.729</f>
        <v>0</v>
      </c>
      <c r="K431" s="47"/>
      <c r="L431" s="47"/>
      <c r="M431" s="47"/>
      <c r="N431" s="12" t="e">
        <f t="shared" si="128"/>
        <v>#REF!</v>
      </c>
      <c r="O431" s="12" t="e">
        <f t="shared" si="129"/>
        <v>#REF!</v>
      </c>
      <c r="P431" s="12" t="e">
        <f t="shared" si="130"/>
        <v>#REF!</v>
      </c>
    </row>
    <row r="432" spans="1:16" ht="15.75" hidden="1" x14ac:dyDescent="0.25">
      <c r="A432" s="14" t="s">
        <v>1824</v>
      </c>
      <c r="B432" s="14">
        <v>25</v>
      </c>
      <c r="C432" s="8" t="s">
        <v>1129</v>
      </c>
      <c r="D432" s="28" t="s">
        <v>2071</v>
      </c>
      <c r="E432" s="12" t="s">
        <v>1314</v>
      </c>
      <c r="F432" s="1"/>
      <c r="G432" s="1">
        <v>2.5710000000000002</v>
      </c>
      <c r="H432" s="1">
        <v>3.5000000000000003E-2</v>
      </c>
      <c r="I432" s="12">
        <f t="shared" si="126"/>
        <v>2.6060000000000003</v>
      </c>
      <c r="J432" s="12">
        <f>26422.745-4817.865-20252.574</f>
        <v>1352.3059999999969</v>
      </c>
      <c r="K432" s="12"/>
      <c r="L432" s="12">
        <f t="shared" si="127"/>
        <v>1352.3059999999969</v>
      </c>
      <c r="M432" s="12">
        <f t="shared" si="124"/>
        <v>518.92018419032877</v>
      </c>
      <c r="N432" s="12" t="e">
        <f t="shared" si="128"/>
        <v>#REF!</v>
      </c>
      <c r="O432" s="12" t="e">
        <f t="shared" si="129"/>
        <v>#REF!</v>
      </c>
      <c r="P432" s="12" t="e">
        <f t="shared" si="130"/>
        <v>#REF!</v>
      </c>
    </row>
    <row r="433" spans="1:16" ht="15.75" hidden="1" x14ac:dyDescent="0.25">
      <c r="A433" s="15" t="s">
        <v>1824</v>
      </c>
      <c r="B433" s="15" t="s">
        <v>1126</v>
      </c>
      <c r="C433" s="10" t="s">
        <v>1743</v>
      </c>
      <c r="D433" s="29"/>
      <c r="E433" s="37" t="s">
        <v>1747</v>
      </c>
      <c r="F433" s="6"/>
      <c r="G433" s="37">
        <f t="shared" ref="G433:L433" si="131">SUM(G434:G469)</f>
        <v>282.0990000000001</v>
      </c>
      <c r="H433" s="37">
        <f>SUM(H434:H469)</f>
        <v>8.0529999999999973</v>
      </c>
      <c r="I433" s="37">
        <f t="shared" si="131"/>
        <v>290.15200000000004</v>
      </c>
      <c r="J433" s="37">
        <f t="shared" si="131"/>
        <v>269605.38</v>
      </c>
      <c r="K433" s="37">
        <f t="shared" si="131"/>
        <v>0</v>
      </c>
      <c r="L433" s="37">
        <f t="shared" si="131"/>
        <v>269605.38</v>
      </c>
      <c r="M433" s="37">
        <f t="shared" si="124"/>
        <v>929.18670214232532</v>
      </c>
      <c r="N433" s="37" t="e">
        <f>M433/$M$1429</f>
        <v>#REF!</v>
      </c>
      <c r="O433" s="37" t="e">
        <f>SUM(O434:O469)</f>
        <v>#REF!</v>
      </c>
      <c r="P433" s="37" t="e">
        <f>SUM(P434:P469)</f>
        <v>#REF!</v>
      </c>
    </row>
    <row r="434" spans="1:16" ht="15.75" hidden="1" x14ac:dyDescent="0.25">
      <c r="A434" s="14" t="s">
        <v>1824</v>
      </c>
      <c r="B434" s="14">
        <v>26</v>
      </c>
      <c r="C434" s="8" t="s">
        <v>1744</v>
      </c>
      <c r="D434" s="28" t="s">
        <v>2072</v>
      </c>
      <c r="E434" s="12" t="s">
        <v>1752</v>
      </c>
      <c r="F434" s="1"/>
      <c r="G434" s="1">
        <v>4.702</v>
      </c>
      <c r="H434" s="1">
        <v>0.15</v>
      </c>
      <c r="I434" s="12">
        <f t="shared" ref="I434:I469" si="132">H434+G434</f>
        <v>4.8520000000000003</v>
      </c>
      <c r="J434" s="12">
        <v>4493.95</v>
      </c>
      <c r="K434" s="12"/>
      <c r="L434" s="12">
        <f t="shared" ref="L434:L467" si="133">J434+K434</f>
        <v>4493.95</v>
      </c>
      <c r="M434" s="12">
        <f t="shared" si="124"/>
        <v>926.20568837592737</v>
      </c>
      <c r="N434" s="12" t="e">
        <f t="shared" ref="N434:N469" si="134">M434/$M$1433</f>
        <v>#REF!</v>
      </c>
      <c r="O434" s="12" t="e">
        <f t="shared" ref="O434:O469" si="135">ROUND(IF(N434&lt;110%,0,(M434-$M$1433*1.1)*0.8)*I434,1)</f>
        <v>#REF!</v>
      </c>
      <c r="P434" s="12" t="e">
        <f t="shared" ref="P434:P469" si="136">ROUND(IF(N434&gt;90%,0,(-M434+$M$1433*0.9)*0.8)*I434,1)</f>
        <v>#REF!</v>
      </c>
    </row>
    <row r="435" spans="1:16" ht="15.75" hidden="1" x14ac:dyDescent="0.25">
      <c r="A435" s="14" t="s">
        <v>1824</v>
      </c>
      <c r="B435" s="14">
        <v>27</v>
      </c>
      <c r="C435" s="8" t="s">
        <v>1744</v>
      </c>
      <c r="D435" s="28" t="s">
        <v>2073</v>
      </c>
      <c r="E435" s="12" t="s">
        <v>1753</v>
      </c>
      <c r="F435" s="1"/>
      <c r="G435" s="1">
        <v>12.808999999999999</v>
      </c>
      <c r="H435" s="1">
        <v>0.128</v>
      </c>
      <c r="I435" s="12">
        <f t="shared" si="132"/>
        <v>12.936999999999999</v>
      </c>
      <c r="J435" s="12">
        <v>12107.141</v>
      </c>
      <c r="K435" s="12"/>
      <c r="L435" s="12">
        <f t="shared" si="133"/>
        <v>12107.141</v>
      </c>
      <c r="M435" s="12">
        <f t="shared" si="124"/>
        <v>935.85383009971406</v>
      </c>
      <c r="N435" s="12" t="e">
        <f t="shared" si="134"/>
        <v>#REF!</v>
      </c>
      <c r="O435" s="12" t="e">
        <f t="shared" si="135"/>
        <v>#REF!</v>
      </c>
      <c r="P435" s="12" t="e">
        <f t="shared" si="136"/>
        <v>#REF!</v>
      </c>
    </row>
    <row r="436" spans="1:16" ht="15.75" hidden="1" x14ac:dyDescent="0.25">
      <c r="A436" s="14" t="s">
        <v>1824</v>
      </c>
      <c r="B436" s="14">
        <v>28</v>
      </c>
      <c r="C436" s="8" t="s">
        <v>1744</v>
      </c>
      <c r="D436" s="28" t="s">
        <v>2074</v>
      </c>
      <c r="E436" s="12" t="s">
        <v>1038</v>
      </c>
      <c r="F436" s="1"/>
      <c r="G436" s="1">
        <v>6.3719999999999999</v>
      </c>
      <c r="H436" s="1">
        <v>0.68799999999999994</v>
      </c>
      <c r="I436" s="12">
        <f t="shared" si="132"/>
        <v>7.06</v>
      </c>
      <c r="J436" s="12">
        <v>7815.2039999999997</v>
      </c>
      <c r="K436" s="12"/>
      <c r="L436" s="12">
        <f t="shared" si="133"/>
        <v>7815.2039999999997</v>
      </c>
      <c r="M436" s="12">
        <f t="shared" si="124"/>
        <v>1106.9694050991502</v>
      </c>
      <c r="N436" s="12" t="e">
        <f t="shared" si="134"/>
        <v>#REF!</v>
      </c>
      <c r="O436" s="12" t="e">
        <f t="shared" si="135"/>
        <v>#REF!</v>
      </c>
      <c r="P436" s="12" t="e">
        <f t="shared" si="136"/>
        <v>#REF!</v>
      </c>
    </row>
    <row r="437" spans="1:16" ht="15.75" hidden="1" x14ac:dyDescent="0.25">
      <c r="A437" s="14" t="s">
        <v>1824</v>
      </c>
      <c r="B437" s="14">
        <v>29</v>
      </c>
      <c r="C437" s="8" t="s">
        <v>1744</v>
      </c>
      <c r="D437" s="28" t="s">
        <v>2075</v>
      </c>
      <c r="E437" s="12" t="s">
        <v>1754</v>
      </c>
      <c r="F437" s="1"/>
      <c r="G437" s="1">
        <v>5.6619999999999999</v>
      </c>
      <c r="H437" s="1">
        <v>8.3000000000000004E-2</v>
      </c>
      <c r="I437" s="12">
        <f t="shared" si="132"/>
        <v>5.7450000000000001</v>
      </c>
      <c r="J437" s="12">
        <v>4486.7489999999998</v>
      </c>
      <c r="K437" s="12"/>
      <c r="L437" s="12">
        <f t="shared" si="133"/>
        <v>4486.7489999999998</v>
      </c>
      <c r="M437" s="12">
        <f t="shared" si="124"/>
        <v>780.98328981723228</v>
      </c>
      <c r="N437" s="12" t="e">
        <f t="shared" si="134"/>
        <v>#REF!</v>
      </c>
      <c r="O437" s="12" t="e">
        <f t="shared" si="135"/>
        <v>#REF!</v>
      </c>
      <c r="P437" s="12" t="e">
        <f t="shared" si="136"/>
        <v>#REF!</v>
      </c>
    </row>
    <row r="438" spans="1:16" ht="15.75" hidden="1" x14ac:dyDescent="0.25">
      <c r="A438" s="14" t="s">
        <v>1824</v>
      </c>
      <c r="B438" s="14">
        <v>30</v>
      </c>
      <c r="C438" s="8" t="s">
        <v>1744</v>
      </c>
      <c r="D438" s="28" t="s">
        <v>2076</v>
      </c>
      <c r="E438" s="12" t="s">
        <v>1039</v>
      </c>
      <c r="F438" s="1"/>
      <c r="G438" s="1">
        <v>3.3889999999999998</v>
      </c>
      <c r="H438" s="1">
        <v>0.42</v>
      </c>
      <c r="I438" s="12">
        <f t="shared" si="132"/>
        <v>3.8089999999999997</v>
      </c>
      <c r="J438" s="12">
        <v>7754.3530000000001</v>
      </c>
      <c r="K438" s="12"/>
      <c r="L438" s="12">
        <f t="shared" si="133"/>
        <v>7754.3530000000001</v>
      </c>
      <c r="M438" s="12">
        <f t="shared" si="124"/>
        <v>2035.7975846678919</v>
      </c>
      <c r="N438" s="12" t="e">
        <f t="shared" si="134"/>
        <v>#REF!</v>
      </c>
      <c r="O438" s="12" t="e">
        <f t="shared" si="135"/>
        <v>#REF!</v>
      </c>
      <c r="P438" s="12" t="e">
        <f t="shared" si="136"/>
        <v>#REF!</v>
      </c>
    </row>
    <row r="439" spans="1:16" ht="15.75" hidden="1" x14ac:dyDescent="0.25">
      <c r="A439" s="14" t="s">
        <v>1824</v>
      </c>
      <c r="B439" s="14">
        <v>31</v>
      </c>
      <c r="C439" s="8" t="s">
        <v>1744</v>
      </c>
      <c r="D439" s="28" t="s">
        <v>2615</v>
      </c>
      <c r="E439" s="12" t="s">
        <v>1040</v>
      </c>
      <c r="F439" s="1"/>
      <c r="G439" s="1">
        <v>5.6609999999999996</v>
      </c>
      <c r="H439" s="1">
        <v>0.26</v>
      </c>
      <c r="I439" s="12">
        <f t="shared" si="132"/>
        <v>5.9209999999999994</v>
      </c>
      <c r="J439" s="12">
        <v>5674.0169999999998</v>
      </c>
      <c r="K439" s="12"/>
      <c r="L439" s="12">
        <f t="shared" si="133"/>
        <v>5674.0169999999998</v>
      </c>
      <c r="M439" s="12">
        <f t="shared" si="124"/>
        <v>958.2869447728425</v>
      </c>
      <c r="N439" s="12" t="e">
        <f t="shared" si="134"/>
        <v>#REF!</v>
      </c>
      <c r="O439" s="12" t="e">
        <f t="shared" si="135"/>
        <v>#REF!</v>
      </c>
      <c r="P439" s="12" t="e">
        <f t="shared" si="136"/>
        <v>#REF!</v>
      </c>
    </row>
    <row r="440" spans="1:16" ht="15.75" hidden="1" x14ac:dyDescent="0.25">
      <c r="A440" s="20" t="s">
        <v>1824</v>
      </c>
      <c r="B440" s="20">
        <v>32</v>
      </c>
      <c r="C440" s="21" t="s">
        <v>1744</v>
      </c>
      <c r="D440" s="30" t="s">
        <v>127</v>
      </c>
      <c r="E440" s="12" t="s">
        <v>128</v>
      </c>
      <c r="F440" s="1"/>
      <c r="G440" s="1">
        <v>5.8360000000000003</v>
      </c>
      <c r="H440" s="1">
        <v>4.1000000000000002E-2</v>
      </c>
      <c r="I440" s="12">
        <f t="shared" si="132"/>
        <v>5.8770000000000007</v>
      </c>
      <c r="J440" s="12">
        <v>7852.5469999999996</v>
      </c>
      <c r="K440" s="12"/>
      <c r="L440" s="12">
        <f t="shared" si="133"/>
        <v>7852.5469999999996</v>
      </c>
      <c r="M440" s="12">
        <f t="shared" si="124"/>
        <v>1336.1488854857919</v>
      </c>
      <c r="N440" s="12" t="e">
        <f t="shared" si="134"/>
        <v>#REF!</v>
      </c>
      <c r="O440" s="12" t="e">
        <f t="shared" si="135"/>
        <v>#REF!</v>
      </c>
      <c r="P440" s="12" t="e">
        <f t="shared" si="136"/>
        <v>#REF!</v>
      </c>
    </row>
    <row r="441" spans="1:16" ht="15.75" hidden="1" x14ac:dyDescent="0.25">
      <c r="A441" s="20" t="s">
        <v>1824</v>
      </c>
      <c r="B441" s="20">
        <v>33</v>
      </c>
      <c r="C441" s="21" t="s">
        <v>1744</v>
      </c>
      <c r="D441" s="30" t="s">
        <v>281</v>
      </c>
      <c r="E441" s="12" t="s">
        <v>282</v>
      </c>
      <c r="F441" s="1"/>
      <c r="G441" s="1">
        <v>14.59</v>
      </c>
      <c r="H441" s="1">
        <v>2.0209999999999999</v>
      </c>
      <c r="I441" s="12">
        <f t="shared" si="132"/>
        <v>16.611000000000001</v>
      </c>
      <c r="J441" s="12">
        <v>16799.477999999999</v>
      </c>
      <c r="K441" s="12"/>
      <c r="L441" s="12">
        <f t="shared" si="133"/>
        <v>16799.477999999999</v>
      </c>
      <c r="M441" s="12">
        <f t="shared" si="124"/>
        <v>1011.3465775690806</v>
      </c>
      <c r="N441" s="12" t="e">
        <f t="shared" si="134"/>
        <v>#REF!</v>
      </c>
      <c r="O441" s="12" t="e">
        <f t="shared" si="135"/>
        <v>#REF!</v>
      </c>
      <c r="P441" s="12" t="e">
        <f t="shared" si="136"/>
        <v>#REF!</v>
      </c>
    </row>
    <row r="442" spans="1:16" ht="15.75" hidden="1" x14ac:dyDescent="0.25">
      <c r="A442" s="20" t="s">
        <v>1824</v>
      </c>
      <c r="B442" s="20">
        <v>34</v>
      </c>
      <c r="C442" s="21" t="s">
        <v>1744</v>
      </c>
      <c r="D442" s="30" t="s">
        <v>283</v>
      </c>
      <c r="E442" s="12" t="s">
        <v>284</v>
      </c>
      <c r="F442" s="1"/>
      <c r="G442" s="1">
        <v>13.045999999999999</v>
      </c>
      <c r="H442" s="1">
        <v>5.8999999999999997E-2</v>
      </c>
      <c r="I442" s="12">
        <f t="shared" si="132"/>
        <v>13.104999999999999</v>
      </c>
      <c r="J442" s="12">
        <v>5891.5879999999997</v>
      </c>
      <c r="K442" s="12"/>
      <c r="L442" s="12">
        <f t="shared" si="133"/>
        <v>5891.5879999999997</v>
      </c>
      <c r="M442" s="12">
        <f t="shared" si="124"/>
        <v>449.567951163678</v>
      </c>
      <c r="N442" s="12" t="e">
        <f t="shared" si="134"/>
        <v>#REF!</v>
      </c>
      <c r="O442" s="12" t="e">
        <f t="shared" si="135"/>
        <v>#REF!</v>
      </c>
      <c r="P442" s="12" t="e">
        <f t="shared" si="136"/>
        <v>#REF!</v>
      </c>
    </row>
    <row r="443" spans="1:16" ht="15.75" hidden="1" x14ac:dyDescent="0.25">
      <c r="A443" s="20" t="s">
        <v>1824</v>
      </c>
      <c r="B443" s="20">
        <v>35</v>
      </c>
      <c r="C443" s="21" t="s">
        <v>1744</v>
      </c>
      <c r="D443" s="30" t="s">
        <v>285</v>
      </c>
      <c r="E443" s="12" t="s">
        <v>286</v>
      </c>
      <c r="F443" s="1"/>
      <c r="G443" s="1">
        <v>10.016</v>
      </c>
      <c r="H443" s="1">
        <v>7.5999999999999998E-2</v>
      </c>
      <c r="I443" s="12">
        <f t="shared" si="132"/>
        <v>10.092000000000001</v>
      </c>
      <c r="J443" s="12">
        <v>6149.0309999999999</v>
      </c>
      <c r="K443" s="12"/>
      <c r="L443" s="12">
        <f t="shared" si="133"/>
        <v>6149.0309999999999</v>
      </c>
      <c r="M443" s="12">
        <f t="shared" si="124"/>
        <v>609.29756242568362</v>
      </c>
      <c r="N443" s="12" t="e">
        <f t="shared" si="134"/>
        <v>#REF!</v>
      </c>
      <c r="O443" s="12" t="e">
        <f t="shared" si="135"/>
        <v>#REF!</v>
      </c>
      <c r="P443" s="12" t="e">
        <f t="shared" si="136"/>
        <v>#REF!</v>
      </c>
    </row>
    <row r="444" spans="1:16" ht="15.75" hidden="1" x14ac:dyDescent="0.25">
      <c r="A444" s="20" t="s">
        <v>1824</v>
      </c>
      <c r="B444" s="20">
        <v>36</v>
      </c>
      <c r="C444" s="21" t="s">
        <v>1744</v>
      </c>
      <c r="D444" s="30" t="s">
        <v>287</v>
      </c>
      <c r="E444" s="12" t="s">
        <v>288</v>
      </c>
      <c r="F444" s="1"/>
      <c r="G444" s="1">
        <v>2.1760000000000002</v>
      </c>
      <c r="H444" s="1">
        <v>8.4000000000000005E-2</v>
      </c>
      <c r="I444" s="12">
        <f t="shared" si="132"/>
        <v>2.2600000000000002</v>
      </c>
      <c r="J444" s="12">
        <v>2032.2829999999999</v>
      </c>
      <c r="K444" s="12"/>
      <c r="L444" s="12">
        <f t="shared" si="133"/>
        <v>2032.2829999999999</v>
      </c>
      <c r="M444" s="12">
        <f t="shared" si="124"/>
        <v>899.24026548672555</v>
      </c>
      <c r="N444" s="12" t="e">
        <f t="shared" si="134"/>
        <v>#REF!</v>
      </c>
      <c r="O444" s="12" t="e">
        <f t="shared" si="135"/>
        <v>#REF!</v>
      </c>
      <c r="P444" s="12" t="e">
        <f t="shared" si="136"/>
        <v>#REF!</v>
      </c>
    </row>
    <row r="445" spans="1:16" ht="15.75" hidden="1" x14ac:dyDescent="0.25">
      <c r="A445" s="20" t="s">
        <v>1824</v>
      </c>
      <c r="B445" s="20">
        <v>37</v>
      </c>
      <c r="C445" s="21" t="s">
        <v>1744</v>
      </c>
      <c r="D445" s="30" t="s">
        <v>289</v>
      </c>
      <c r="E445" s="12" t="s">
        <v>290</v>
      </c>
      <c r="F445" s="1"/>
      <c r="G445" s="1">
        <v>2.0710000000000002</v>
      </c>
      <c r="H445" s="1">
        <v>1.0999999999999999E-2</v>
      </c>
      <c r="I445" s="12">
        <f t="shared" si="132"/>
        <v>2.0820000000000003</v>
      </c>
      <c r="J445" s="12">
        <v>2414.337</v>
      </c>
      <c r="K445" s="12"/>
      <c r="L445" s="12">
        <f t="shared" si="133"/>
        <v>2414.337</v>
      </c>
      <c r="M445" s="12">
        <f t="shared" si="124"/>
        <v>1159.6239193083572</v>
      </c>
      <c r="N445" s="12" t="e">
        <f t="shared" si="134"/>
        <v>#REF!</v>
      </c>
      <c r="O445" s="12" t="e">
        <f t="shared" si="135"/>
        <v>#REF!</v>
      </c>
      <c r="P445" s="12" t="e">
        <f t="shared" si="136"/>
        <v>#REF!</v>
      </c>
    </row>
    <row r="446" spans="1:16" ht="15.75" hidden="1" x14ac:dyDescent="0.25">
      <c r="A446" s="20" t="s">
        <v>1824</v>
      </c>
      <c r="B446" s="20">
        <v>38</v>
      </c>
      <c r="C446" s="21" t="s">
        <v>1744</v>
      </c>
      <c r="D446" s="30" t="s">
        <v>291</v>
      </c>
      <c r="E446" s="12" t="s">
        <v>292</v>
      </c>
      <c r="F446" s="1"/>
      <c r="G446" s="1">
        <v>3.1709999999999998</v>
      </c>
      <c r="H446" s="1">
        <v>2.4E-2</v>
      </c>
      <c r="I446" s="12">
        <f t="shared" si="132"/>
        <v>3.1949999999999998</v>
      </c>
      <c r="J446" s="12">
        <v>3491.4110000000001</v>
      </c>
      <c r="K446" s="12"/>
      <c r="L446" s="12">
        <f t="shared" si="133"/>
        <v>3491.4110000000001</v>
      </c>
      <c r="M446" s="12">
        <f t="shared" si="124"/>
        <v>1092.7733959311424</v>
      </c>
      <c r="N446" s="12" t="e">
        <f t="shared" si="134"/>
        <v>#REF!</v>
      </c>
      <c r="O446" s="12" t="e">
        <f t="shared" si="135"/>
        <v>#REF!</v>
      </c>
      <c r="P446" s="12" t="e">
        <f t="shared" si="136"/>
        <v>#REF!</v>
      </c>
    </row>
    <row r="447" spans="1:16" ht="15.75" hidden="1" x14ac:dyDescent="0.25">
      <c r="A447" s="20" t="s">
        <v>1824</v>
      </c>
      <c r="B447" s="20">
        <v>39</v>
      </c>
      <c r="C447" s="21" t="s">
        <v>1744</v>
      </c>
      <c r="D447" s="30" t="s">
        <v>293</v>
      </c>
      <c r="E447" s="12" t="s">
        <v>294</v>
      </c>
      <c r="F447" s="1"/>
      <c r="G447" s="1">
        <v>7.7510000000000003</v>
      </c>
      <c r="H447" s="1">
        <v>0.56100000000000005</v>
      </c>
      <c r="I447" s="12">
        <f t="shared" si="132"/>
        <v>8.3120000000000012</v>
      </c>
      <c r="J447" s="12">
        <v>7690.7939999999999</v>
      </c>
      <c r="K447" s="12"/>
      <c r="L447" s="12">
        <f t="shared" si="133"/>
        <v>7690.7939999999999</v>
      </c>
      <c r="M447" s="12">
        <f t="shared" si="124"/>
        <v>925.26395572666013</v>
      </c>
      <c r="N447" s="12" t="e">
        <f t="shared" si="134"/>
        <v>#REF!</v>
      </c>
      <c r="O447" s="12" t="e">
        <f t="shared" si="135"/>
        <v>#REF!</v>
      </c>
      <c r="P447" s="12" t="e">
        <f t="shared" si="136"/>
        <v>#REF!</v>
      </c>
    </row>
    <row r="448" spans="1:16" ht="15.75" hidden="1" x14ac:dyDescent="0.25">
      <c r="A448" s="20" t="s">
        <v>1824</v>
      </c>
      <c r="B448" s="20">
        <v>40</v>
      </c>
      <c r="C448" s="21" t="s">
        <v>1744</v>
      </c>
      <c r="D448" s="30" t="s">
        <v>295</v>
      </c>
      <c r="E448" s="12" t="s">
        <v>296</v>
      </c>
      <c r="F448" s="1"/>
      <c r="G448" s="1">
        <v>2.8980000000000001</v>
      </c>
      <c r="H448" s="1">
        <v>3.2000000000000001E-2</v>
      </c>
      <c r="I448" s="12">
        <f t="shared" si="132"/>
        <v>2.93</v>
      </c>
      <c r="J448" s="12">
        <v>2137.0720000000001</v>
      </c>
      <c r="K448" s="12"/>
      <c r="L448" s="12">
        <f t="shared" si="133"/>
        <v>2137.0720000000001</v>
      </c>
      <c r="M448" s="12">
        <f t="shared" si="124"/>
        <v>729.3761092150171</v>
      </c>
      <c r="N448" s="12" t="e">
        <f t="shared" si="134"/>
        <v>#REF!</v>
      </c>
      <c r="O448" s="12" t="e">
        <f t="shared" si="135"/>
        <v>#REF!</v>
      </c>
      <c r="P448" s="12" t="e">
        <f t="shared" si="136"/>
        <v>#REF!</v>
      </c>
    </row>
    <row r="449" spans="1:16" ht="15.75" hidden="1" x14ac:dyDescent="0.25">
      <c r="A449" s="20" t="s">
        <v>1824</v>
      </c>
      <c r="B449" s="20">
        <v>41</v>
      </c>
      <c r="C449" s="21" t="s">
        <v>1744</v>
      </c>
      <c r="D449" s="30" t="s">
        <v>297</v>
      </c>
      <c r="E449" s="12" t="s">
        <v>298</v>
      </c>
      <c r="F449" s="1"/>
      <c r="G449" s="1">
        <v>4.4130000000000003</v>
      </c>
      <c r="H449" s="1">
        <v>3.3000000000000002E-2</v>
      </c>
      <c r="I449" s="12">
        <f t="shared" si="132"/>
        <v>4.4460000000000006</v>
      </c>
      <c r="J449" s="12">
        <v>2679.6559999999999</v>
      </c>
      <c r="K449" s="12"/>
      <c r="L449" s="12">
        <f t="shared" si="133"/>
        <v>2679.6559999999999</v>
      </c>
      <c r="M449" s="12">
        <f t="shared" si="124"/>
        <v>602.71165092217711</v>
      </c>
      <c r="N449" s="12" t="e">
        <f t="shared" si="134"/>
        <v>#REF!</v>
      </c>
      <c r="O449" s="12" t="e">
        <f t="shared" si="135"/>
        <v>#REF!</v>
      </c>
      <c r="P449" s="12" t="e">
        <f t="shared" si="136"/>
        <v>#REF!</v>
      </c>
    </row>
    <row r="450" spans="1:16" ht="31.5" hidden="1" x14ac:dyDescent="0.25">
      <c r="A450" s="20" t="s">
        <v>1824</v>
      </c>
      <c r="B450" s="20">
        <v>42</v>
      </c>
      <c r="C450" s="21" t="s">
        <v>1744</v>
      </c>
      <c r="D450" s="30" t="s">
        <v>526</v>
      </c>
      <c r="E450" s="38" t="s">
        <v>528</v>
      </c>
      <c r="F450" s="39"/>
      <c r="G450" s="39">
        <v>21.151</v>
      </c>
      <c r="H450" s="39">
        <v>0.23300000000000001</v>
      </c>
      <c r="I450" s="12">
        <f t="shared" si="132"/>
        <v>21.384</v>
      </c>
      <c r="J450" s="38">
        <v>16130.207</v>
      </c>
      <c r="K450" s="38"/>
      <c r="L450" s="38">
        <f t="shared" si="133"/>
        <v>16130.207</v>
      </c>
      <c r="M450" s="38">
        <f t="shared" si="124"/>
        <v>754.31196221473999</v>
      </c>
      <c r="N450" s="12" t="e">
        <f t="shared" si="134"/>
        <v>#REF!</v>
      </c>
      <c r="O450" s="12" t="e">
        <f t="shared" si="135"/>
        <v>#REF!</v>
      </c>
      <c r="P450" s="12" t="e">
        <f t="shared" si="136"/>
        <v>#REF!</v>
      </c>
    </row>
    <row r="451" spans="1:16" ht="15.75" hidden="1" x14ac:dyDescent="0.25">
      <c r="A451" s="20" t="s">
        <v>1824</v>
      </c>
      <c r="B451" s="20">
        <v>43</v>
      </c>
      <c r="C451" s="21" t="s">
        <v>1744</v>
      </c>
      <c r="D451" s="30" t="s">
        <v>527</v>
      </c>
      <c r="E451" s="38" t="s">
        <v>530</v>
      </c>
      <c r="F451" s="39"/>
      <c r="G451" s="39">
        <v>19.469000000000001</v>
      </c>
      <c r="H451" s="39">
        <v>0.255</v>
      </c>
      <c r="I451" s="12">
        <f t="shared" si="132"/>
        <v>19.724</v>
      </c>
      <c r="J451" s="38">
        <v>21185.357</v>
      </c>
      <c r="K451" s="38"/>
      <c r="L451" s="38">
        <f t="shared" si="133"/>
        <v>21185.357</v>
      </c>
      <c r="M451" s="38">
        <f t="shared" si="124"/>
        <v>1074.0902960859867</v>
      </c>
      <c r="N451" s="12" t="e">
        <f t="shared" si="134"/>
        <v>#REF!</v>
      </c>
      <c r="O451" s="12" t="e">
        <f t="shared" si="135"/>
        <v>#REF!</v>
      </c>
      <c r="P451" s="12" t="e">
        <f t="shared" si="136"/>
        <v>#REF!</v>
      </c>
    </row>
    <row r="452" spans="1:16" ht="15.75" hidden="1" x14ac:dyDescent="0.25">
      <c r="A452" s="20" t="s">
        <v>1824</v>
      </c>
      <c r="B452" s="20">
        <v>44</v>
      </c>
      <c r="C452" s="21" t="s">
        <v>1744</v>
      </c>
      <c r="D452" s="30" t="s">
        <v>529</v>
      </c>
      <c r="E452" s="38" t="s">
        <v>532</v>
      </c>
      <c r="F452" s="39"/>
      <c r="G452" s="39">
        <v>7.9480000000000004</v>
      </c>
      <c r="H452" s="39">
        <v>1.7999999999999999E-2</v>
      </c>
      <c r="I452" s="12">
        <f t="shared" si="132"/>
        <v>7.9660000000000002</v>
      </c>
      <c r="J452" s="38">
        <v>10198.825999999999</v>
      </c>
      <c r="K452" s="38"/>
      <c r="L452" s="38">
        <f t="shared" si="133"/>
        <v>10198.825999999999</v>
      </c>
      <c r="M452" s="38">
        <f t="shared" si="124"/>
        <v>1280.2945016319356</v>
      </c>
      <c r="N452" s="12" t="e">
        <f t="shared" si="134"/>
        <v>#REF!</v>
      </c>
      <c r="O452" s="12" t="e">
        <f t="shared" si="135"/>
        <v>#REF!</v>
      </c>
      <c r="P452" s="12" t="e">
        <f t="shared" si="136"/>
        <v>#REF!</v>
      </c>
    </row>
    <row r="453" spans="1:16" ht="15.75" hidden="1" x14ac:dyDescent="0.25">
      <c r="A453" s="20" t="s">
        <v>1824</v>
      </c>
      <c r="B453" s="20">
        <v>45</v>
      </c>
      <c r="C453" s="21" t="s">
        <v>1744</v>
      </c>
      <c r="D453" s="30" t="s">
        <v>531</v>
      </c>
      <c r="E453" s="38" t="s">
        <v>537</v>
      </c>
      <c r="F453" s="39"/>
      <c r="G453" s="39">
        <v>17.114999999999998</v>
      </c>
      <c r="H453" s="39">
        <v>0.374</v>
      </c>
      <c r="I453" s="12">
        <f t="shared" si="132"/>
        <v>17.488999999999997</v>
      </c>
      <c r="J453" s="38">
        <v>19102.728999999999</v>
      </c>
      <c r="K453" s="38"/>
      <c r="L453" s="38">
        <f t="shared" si="133"/>
        <v>19102.728999999999</v>
      </c>
      <c r="M453" s="38">
        <f t="shared" si="124"/>
        <v>1092.2710846818002</v>
      </c>
      <c r="N453" s="12" t="e">
        <f t="shared" si="134"/>
        <v>#REF!</v>
      </c>
      <c r="O453" s="12" t="e">
        <f t="shared" si="135"/>
        <v>#REF!</v>
      </c>
      <c r="P453" s="12" t="e">
        <f t="shared" si="136"/>
        <v>#REF!</v>
      </c>
    </row>
    <row r="454" spans="1:16" ht="15.75" hidden="1" x14ac:dyDescent="0.25">
      <c r="A454" s="20" t="s">
        <v>1824</v>
      </c>
      <c r="B454" s="20">
        <v>46</v>
      </c>
      <c r="C454" s="21" t="s">
        <v>1744</v>
      </c>
      <c r="D454" s="30" t="s">
        <v>533</v>
      </c>
      <c r="E454" s="42" t="s">
        <v>715</v>
      </c>
      <c r="F454" s="43"/>
      <c r="G454" s="43">
        <v>16.619</v>
      </c>
      <c r="H454" s="43">
        <v>1.391</v>
      </c>
      <c r="I454" s="12">
        <f t="shared" si="132"/>
        <v>18.009999999999998</v>
      </c>
      <c r="J454" s="42">
        <v>18286.07</v>
      </c>
      <c r="K454" s="42"/>
      <c r="L454" s="42">
        <f t="shared" si="133"/>
        <v>18286.07</v>
      </c>
      <c r="M454" s="42">
        <f t="shared" si="124"/>
        <v>1015.3287062742921</v>
      </c>
      <c r="N454" s="12" t="e">
        <f t="shared" si="134"/>
        <v>#REF!</v>
      </c>
      <c r="O454" s="12" t="e">
        <f t="shared" si="135"/>
        <v>#REF!</v>
      </c>
      <c r="P454" s="12" t="e">
        <f t="shared" si="136"/>
        <v>#REF!</v>
      </c>
    </row>
    <row r="455" spans="1:16" ht="15.75" hidden="1" x14ac:dyDescent="0.25">
      <c r="A455" s="20" t="s">
        <v>1824</v>
      </c>
      <c r="B455" s="20">
        <v>47</v>
      </c>
      <c r="C455" s="21" t="s">
        <v>1744</v>
      </c>
      <c r="D455" s="30" t="s">
        <v>534</v>
      </c>
      <c r="E455" s="42" t="s">
        <v>716</v>
      </c>
      <c r="F455" s="43"/>
      <c r="G455" s="43">
        <v>3.62</v>
      </c>
      <c r="H455" s="43">
        <v>4.4999999999999998E-2</v>
      </c>
      <c r="I455" s="12">
        <f t="shared" si="132"/>
        <v>3.665</v>
      </c>
      <c r="J455" s="42">
        <v>3909.3809999999999</v>
      </c>
      <c r="K455" s="42"/>
      <c r="L455" s="42">
        <f t="shared" si="133"/>
        <v>3909.3809999999999</v>
      </c>
      <c r="M455" s="42">
        <f t="shared" si="124"/>
        <v>1066.6796725784448</v>
      </c>
      <c r="N455" s="12" t="e">
        <f t="shared" si="134"/>
        <v>#REF!</v>
      </c>
      <c r="O455" s="12" t="e">
        <f t="shared" si="135"/>
        <v>#REF!</v>
      </c>
      <c r="P455" s="12" t="e">
        <f t="shared" si="136"/>
        <v>#REF!</v>
      </c>
    </row>
    <row r="456" spans="1:16" ht="15.75" hidden="1" x14ac:dyDescent="0.25">
      <c r="A456" s="20" t="s">
        <v>1824</v>
      </c>
      <c r="B456" s="20">
        <v>48</v>
      </c>
      <c r="C456" s="21" t="s">
        <v>1744</v>
      </c>
      <c r="D456" s="30" t="s">
        <v>535</v>
      </c>
      <c r="E456" s="42" t="s">
        <v>717</v>
      </c>
      <c r="F456" s="43"/>
      <c r="G456" s="43">
        <v>11.14</v>
      </c>
      <c r="H456" s="43">
        <v>0.14099999999999999</v>
      </c>
      <c r="I456" s="12">
        <f t="shared" si="132"/>
        <v>11.281000000000001</v>
      </c>
      <c r="J456" s="42">
        <v>15879.991</v>
      </c>
      <c r="K456" s="42"/>
      <c r="L456" s="42">
        <f t="shared" si="133"/>
        <v>15879.991</v>
      </c>
      <c r="M456" s="42">
        <f t="shared" si="124"/>
        <v>1407.675826611116</v>
      </c>
      <c r="N456" s="12" t="e">
        <f t="shared" si="134"/>
        <v>#REF!</v>
      </c>
      <c r="O456" s="12" t="e">
        <f t="shared" si="135"/>
        <v>#REF!</v>
      </c>
      <c r="P456" s="12" t="e">
        <f t="shared" si="136"/>
        <v>#REF!</v>
      </c>
    </row>
    <row r="457" spans="1:16" ht="15.75" hidden="1" x14ac:dyDescent="0.25">
      <c r="A457" s="20" t="s">
        <v>1824</v>
      </c>
      <c r="B457" s="20">
        <v>49</v>
      </c>
      <c r="C457" s="21" t="s">
        <v>1744</v>
      </c>
      <c r="D457" s="30" t="s">
        <v>536</v>
      </c>
      <c r="E457" s="42" t="s">
        <v>718</v>
      </c>
      <c r="F457" s="43"/>
      <c r="G457" s="43">
        <v>11.227</v>
      </c>
      <c r="H457" s="43">
        <v>7.9000000000000001E-2</v>
      </c>
      <c r="I457" s="12">
        <f t="shared" si="132"/>
        <v>11.306000000000001</v>
      </c>
      <c r="J457" s="42">
        <v>3178.0309999999999</v>
      </c>
      <c r="K457" s="42"/>
      <c r="L457" s="42">
        <f t="shared" si="133"/>
        <v>3178.0309999999999</v>
      </c>
      <c r="M457" s="42">
        <f t="shared" si="124"/>
        <v>281.09242879886784</v>
      </c>
      <c r="N457" s="12" t="e">
        <f t="shared" si="134"/>
        <v>#REF!</v>
      </c>
      <c r="O457" s="12" t="e">
        <f t="shared" si="135"/>
        <v>#REF!</v>
      </c>
      <c r="P457" s="12" t="e">
        <f t="shared" si="136"/>
        <v>#REF!</v>
      </c>
    </row>
    <row r="458" spans="1:16" ht="15.75" hidden="1" x14ac:dyDescent="0.25">
      <c r="A458" s="49" t="s">
        <v>1824</v>
      </c>
      <c r="B458" s="49">
        <v>50</v>
      </c>
      <c r="C458" s="50" t="s">
        <v>1744</v>
      </c>
      <c r="D458" s="51" t="s">
        <v>719</v>
      </c>
      <c r="E458" s="52" t="s">
        <v>720</v>
      </c>
      <c r="F458" s="53"/>
      <c r="G458" s="53">
        <v>2.2170000000000001</v>
      </c>
      <c r="H458" s="53">
        <v>1.6E-2</v>
      </c>
      <c r="I458" s="12">
        <f t="shared" si="132"/>
        <v>2.2330000000000001</v>
      </c>
      <c r="J458" s="52">
        <v>1829.8889999999999</v>
      </c>
      <c r="K458" s="52"/>
      <c r="L458" s="52">
        <f t="shared" si="133"/>
        <v>1829.8889999999999</v>
      </c>
      <c r="M458" s="52">
        <f t="shared" si="124"/>
        <v>819.475593372145</v>
      </c>
      <c r="N458" s="12" t="e">
        <f t="shared" si="134"/>
        <v>#REF!</v>
      </c>
      <c r="O458" s="12" t="e">
        <f t="shared" si="135"/>
        <v>#REF!</v>
      </c>
      <c r="P458" s="12" t="e">
        <f t="shared" si="136"/>
        <v>#REF!</v>
      </c>
    </row>
    <row r="459" spans="1:16" ht="15.75" hidden="1" x14ac:dyDescent="0.25">
      <c r="A459" s="49" t="s">
        <v>1824</v>
      </c>
      <c r="B459" s="49">
        <v>51</v>
      </c>
      <c r="C459" s="50" t="s">
        <v>1744</v>
      </c>
      <c r="D459" s="51" t="s">
        <v>721</v>
      </c>
      <c r="E459" s="52" t="s">
        <v>722</v>
      </c>
      <c r="F459" s="53"/>
      <c r="G459" s="53">
        <v>3.7229999999999999</v>
      </c>
      <c r="H459" s="53">
        <v>2.8000000000000001E-2</v>
      </c>
      <c r="I459" s="12">
        <f t="shared" si="132"/>
        <v>3.7509999999999999</v>
      </c>
      <c r="J459" s="52">
        <v>2979.8449999999998</v>
      </c>
      <c r="K459" s="52"/>
      <c r="L459" s="52">
        <f t="shared" si="133"/>
        <v>2979.8449999999998</v>
      </c>
      <c r="M459" s="52">
        <f t="shared" si="124"/>
        <v>794.41348973607035</v>
      </c>
      <c r="N459" s="12" t="e">
        <f t="shared" si="134"/>
        <v>#REF!</v>
      </c>
      <c r="O459" s="12" t="e">
        <f t="shared" si="135"/>
        <v>#REF!</v>
      </c>
      <c r="P459" s="12" t="e">
        <f t="shared" si="136"/>
        <v>#REF!</v>
      </c>
    </row>
    <row r="460" spans="1:16" ht="15.75" hidden="1" x14ac:dyDescent="0.25">
      <c r="A460" s="49" t="s">
        <v>1824</v>
      </c>
      <c r="B460" s="49">
        <v>52</v>
      </c>
      <c r="C460" s="50" t="s">
        <v>1744</v>
      </c>
      <c r="D460" s="51" t="s">
        <v>723</v>
      </c>
      <c r="E460" s="52" t="s">
        <v>724</v>
      </c>
      <c r="F460" s="53"/>
      <c r="G460" s="53">
        <v>3.3660000000000001</v>
      </c>
      <c r="H460" s="53">
        <v>1.4E-2</v>
      </c>
      <c r="I460" s="12">
        <f t="shared" si="132"/>
        <v>3.38</v>
      </c>
      <c r="J460" s="52">
        <v>2875.9810000000002</v>
      </c>
      <c r="K460" s="52"/>
      <c r="L460" s="52">
        <f t="shared" si="133"/>
        <v>2875.9810000000002</v>
      </c>
      <c r="M460" s="52">
        <f t="shared" si="124"/>
        <v>850.88195266272203</v>
      </c>
      <c r="N460" s="12" t="e">
        <f t="shared" si="134"/>
        <v>#REF!</v>
      </c>
      <c r="O460" s="12" t="e">
        <f t="shared" si="135"/>
        <v>#REF!</v>
      </c>
      <c r="P460" s="12" t="e">
        <f t="shared" si="136"/>
        <v>#REF!</v>
      </c>
    </row>
    <row r="461" spans="1:16" ht="15.75" hidden="1" x14ac:dyDescent="0.25">
      <c r="A461" s="49" t="s">
        <v>1824</v>
      </c>
      <c r="B461" s="49">
        <v>53</v>
      </c>
      <c r="C461" s="50" t="s">
        <v>1744</v>
      </c>
      <c r="D461" s="51" t="s">
        <v>725</v>
      </c>
      <c r="E461" s="52" t="s">
        <v>726</v>
      </c>
      <c r="F461" s="53"/>
      <c r="G461" s="53">
        <v>2.9129999999999998</v>
      </c>
      <c r="H461" s="53">
        <v>2.9000000000000001E-2</v>
      </c>
      <c r="I461" s="12">
        <f t="shared" si="132"/>
        <v>2.9419999999999997</v>
      </c>
      <c r="J461" s="52">
        <v>2850.47</v>
      </c>
      <c r="K461" s="52"/>
      <c r="L461" s="52">
        <f t="shared" si="133"/>
        <v>2850.47</v>
      </c>
      <c r="M461" s="52">
        <f t="shared" si="124"/>
        <v>968.88851121685934</v>
      </c>
      <c r="N461" s="12" t="e">
        <f t="shared" si="134"/>
        <v>#REF!</v>
      </c>
      <c r="O461" s="12" t="e">
        <f t="shared" si="135"/>
        <v>#REF!</v>
      </c>
      <c r="P461" s="12" t="e">
        <f t="shared" si="136"/>
        <v>#REF!</v>
      </c>
    </row>
    <row r="462" spans="1:16" ht="15.75" hidden="1" x14ac:dyDescent="0.25">
      <c r="A462" s="49" t="s">
        <v>1824</v>
      </c>
      <c r="B462" s="49">
        <v>54</v>
      </c>
      <c r="C462" s="50" t="s">
        <v>1744</v>
      </c>
      <c r="D462" s="51" t="s">
        <v>727</v>
      </c>
      <c r="E462" s="52" t="s">
        <v>728</v>
      </c>
      <c r="F462" s="53"/>
      <c r="G462" s="53">
        <v>2.3620000000000001</v>
      </c>
      <c r="H462" s="53">
        <v>3.9E-2</v>
      </c>
      <c r="I462" s="12">
        <f t="shared" si="132"/>
        <v>2.4010000000000002</v>
      </c>
      <c r="J462" s="52">
        <v>5915.5129999999999</v>
      </c>
      <c r="K462" s="52"/>
      <c r="L462" s="52">
        <f t="shared" si="133"/>
        <v>5915.5129999999999</v>
      </c>
      <c r="M462" s="52">
        <f t="shared" si="124"/>
        <v>2463.7705122865468</v>
      </c>
      <c r="N462" s="12" t="e">
        <f t="shared" si="134"/>
        <v>#REF!</v>
      </c>
      <c r="O462" s="12" t="e">
        <f t="shared" si="135"/>
        <v>#REF!</v>
      </c>
      <c r="P462" s="12" t="e">
        <f t="shared" si="136"/>
        <v>#REF!</v>
      </c>
    </row>
    <row r="463" spans="1:16" ht="15.75" hidden="1" x14ac:dyDescent="0.25">
      <c r="A463" s="49" t="s">
        <v>1824</v>
      </c>
      <c r="B463" s="49">
        <v>55</v>
      </c>
      <c r="C463" s="50" t="s">
        <v>1744</v>
      </c>
      <c r="D463" s="51" t="s">
        <v>729</v>
      </c>
      <c r="E463" s="52" t="s">
        <v>730</v>
      </c>
      <c r="F463" s="53"/>
      <c r="G463" s="53">
        <v>3.5760000000000001</v>
      </c>
      <c r="H463" s="53">
        <v>1.4999999999999999E-2</v>
      </c>
      <c r="I463" s="12">
        <f t="shared" si="132"/>
        <v>3.5910000000000002</v>
      </c>
      <c r="J463" s="52">
        <v>3425</v>
      </c>
      <c r="K463" s="52"/>
      <c r="L463" s="52">
        <f t="shared" si="133"/>
        <v>3425</v>
      </c>
      <c r="M463" s="52">
        <f t="shared" si="124"/>
        <v>953.77332219437483</v>
      </c>
      <c r="N463" s="12" t="e">
        <f t="shared" si="134"/>
        <v>#REF!</v>
      </c>
      <c r="O463" s="12" t="e">
        <f t="shared" si="135"/>
        <v>#REF!</v>
      </c>
      <c r="P463" s="12" t="e">
        <f t="shared" si="136"/>
        <v>#REF!</v>
      </c>
    </row>
    <row r="464" spans="1:16" ht="15.75" hidden="1" x14ac:dyDescent="0.25">
      <c r="A464" s="49" t="s">
        <v>1824</v>
      </c>
      <c r="B464" s="49">
        <v>56</v>
      </c>
      <c r="C464" s="50" t="s">
        <v>1744</v>
      </c>
      <c r="D464" s="51" t="s">
        <v>731</v>
      </c>
      <c r="E464" s="52" t="s">
        <v>732</v>
      </c>
      <c r="F464" s="53"/>
      <c r="G464" s="53">
        <v>7.8620000000000001</v>
      </c>
      <c r="H464" s="53">
        <v>0.14099999999999999</v>
      </c>
      <c r="I464" s="12">
        <f t="shared" si="132"/>
        <v>8.0030000000000001</v>
      </c>
      <c r="J464" s="52">
        <v>8706.8970000000008</v>
      </c>
      <c r="K464" s="52"/>
      <c r="L464" s="52">
        <f t="shared" si="133"/>
        <v>8706.8970000000008</v>
      </c>
      <c r="M464" s="52">
        <f t="shared" si="124"/>
        <v>1087.9541421966762</v>
      </c>
      <c r="N464" s="12" t="e">
        <f t="shared" si="134"/>
        <v>#REF!</v>
      </c>
      <c r="O464" s="12" t="e">
        <f t="shared" si="135"/>
        <v>#REF!</v>
      </c>
      <c r="P464" s="12" t="e">
        <f t="shared" si="136"/>
        <v>#REF!</v>
      </c>
    </row>
    <row r="465" spans="1:16" ht="15.75" hidden="1" x14ac:dyDescent="0.25">
      <c r="A465" s="49" t="s">
        <v>1824</v>
      </c>
      <c r="B465" s="49">
        <v>57</v>
      </c>
      <c r="C465" s="50" t="s">
        <v>1744</v>
      </c>
      <c r="D465" s="51" t="s">
        <v>733</v>
      </c>
      <c r="E465" s="52" t="s">
        <v>734</v>
      </c>
      <c r="F465" s="53"/>
      <c r="G465" s="53">
        <v>6.7990000000000004</v>
      </c>
      <c r="H465" s="53">
        <v>0.13100000000000001</v>
      </c>
      <c r="I465" s="12">
        <f t="shared" si="132"/>
        <v>6.9300000000000006</v>
      </c>
      <c r="J465" s="52">
        <v>4817.8649999999998</v>
      </c>
      <c r="K465" s="52"/>
      <c r="L465" s="52">
        <f t="shared" si="133"/>
        <v>4817.8649999999998</v>
      </c>
      <c r="M465" s="52">
        <f t="shared" si="124"/>
        <v>695.21861471861462</v>
      </c>
      <c r="N465" s="12" t="e">
        <f t="shared" si="134"/>
        <v>#REF!</v>
      </c>
      <c r="O465" s="12" t="e">
        <f t="shared" si="135"/>
        <v>#REF!</v>
      </c>
      <c r="P465" s="12" t="e">
        <f t="shared" si="136"/>
        <v>#REF!</v>
      </c>
    </row>
    <row r="466" spans="1:16" ht="15.75" hidden="1" x14ac:dyDescent="0.25">
      <c r="A466" s="49" t="s">
        <v>1824</v>
      </c>
      <c r="B466" s="49">
        <v>58</v>
      </c>
      <c r="C466" s="50" t="s">
        <v>1744</v>
      </c>
      <c r="D466" s="51" t="s">
        <v>735</v>
      </c>
      <c r="E466" s="52" t="s">
        <v>736</v>
      </c>
      <c r="F466" s="53"/>
      <c r="G466" s="53">
        <v>24.238</v>
      </c>
      <c r="H466" s="53">
        <v>0.19600000000000001</v>
      </c>
      <c r="I466" s="12">
        <f t="shared" si="132"/>
        <v>24.434000000000001</v>
      </c>
      <c r="J466" s="52">
        <v>20252.574000000001</v>
      </c>
      <c r="K466" s="52"/>
      <c r="L466" s="52">
        <f t="shared" si="133"/>
        <v>20252.574000000001</v>
      </c>
      <c r="M466" s="52">
        <f t="shared" si="124"/>
        <v>828.86854383236471</v>
      </c>
      <c r="N466" s="12" t="e">
        <f t="shared" si="134"/>
        <v>#REF!</v>
      </c>
      <c r="O466" s="12" t="e">
        <f t="shared" si="135"/>
        <v>#REF!</v>
      </c>
      <c r="P466" s="12" t="e">
        <f t="shared" si="136"/>
        <v>#REF!</v>
      </c>
    </row>
    <row r="467" spans="1:16" ht="31.5" hidden="1" x14ac:dyDescent="0.25">
      <c r="A467" s="49" t="s">
        <v>1824</v>
      </c>
      <c r="B467" s="49">
        <v>59</v>
      </c>
      <c r="C467" s="50" t="s">
        <v>1744</v>
      </c>
      <c r="D467" s="51" t="s">
        <v>737</v>
      </c>
      <c r="E467" s="52" t="s">
        <v>738</v>
      </c>
      <c r="F467" s="53"/>
      <c r="G467" s="53">
        <v>5.194</v>
      </c>
      <c r="H467" s="53">
        <v>9.1999999999999998E-2</v>
      </c>
      <c r="I467" s="12">
        <f t="shared" si="132"/>
        <v>5.2859999999999996</v>
      </c>
      <c r="J467" s="52">
        <f>3440.867+994.3</f>
        <v>4435.1670000000004</v>
      </c>
      <c r="K467" s="52"/>
      <c r="L467" s="52">
        <f t="shared" si="133"/>
        <v>4435.1670000000004</v>
      </c>
      <c r="M467" s="52">
        <f t="shared" si="124"/>
        <v>839.04029511918293</v>
      </c>
      <c r="N467" s="12" t="e">
        <f t="shared" si="134"/>
        <v>#REF!</v>
      </c>
      <c r="O467" s="12" t="e">
        <f t="shared" si="135"/>
        <v>#REF!</v>
      </c>
      <c r="P467" s="12" t="e">
        <f t="shared" si="136"/>
        <v>#REF!</v>
      </c>
    </row>
    <row r="468" spans="1:16" ht="37.5" hidden="1" x14ac:dyDescent="0.3">
      <c r="A468" s="49" t="s">
        <v>1824</v>
      </c>
      <c r="B468" s="49">
        <v>60</v>
      </c>
      <c r="C468" s="12" t="s">
        <v>1744</v>
      </c>
      <c r="D468" s="61" t="s">
        <v>1067</v>
      </c>
      <c r="E468" s="63" t="s">
        <v>1068</v>
      </c>
      <c r="F468" s="53"/>
      <c r="G468" s="53">
        <v>4.6909999999999998</v>
      </c>
      <c r="H468" s="53">
        <v>7.2999999999999995E-2</v>
      </c>
      <c r="I468" s="12">
        <f t="shared" si="132"/>
        <v>4.7640000000000002</v>
      </c>
      <c r="J468" s="52">
        <v>2030.5160000000001</v>
      </c>
      <c r="K468" s="52"/>
      <c r="L468" s="52">
        <f>J468+K468</f>
        <v>2030.5160000000001</v>
      </c>
      <c r="M468" s="52">
        <f>L468/I468</f>
        <v>426.22082283795129</v>
      </c>
      <c r="N468" s="12" t="e">
        <f t="shared" si="134"/>
        <v>#REF!</v>
      </c>
      <c r="O468" s="12" t="e">
        <f t="shared" si="135"/>
        <v>#REF!</v>
      </c>
      <c r="P468" s="12" t="e">
        <f t="shared" si="136"/>
        <v>#REF!</v>
      </c>
    </row>
    <row r="469" spans="1:16" ht="18.75" hidden="1" x14ac:dyDescent="0.3">
      <c r="A469" s="49" t="s">
        <v>1824</v>
      </c>
      <c r="B469" s="49">
        <v>61</v>
      </c>
      <c r="C469" s="12" t="s">
        <v>1744</v>
      </c>
      <c r="D469" s="61" t="s">
        <v>1069</v>
      </c>
      <c r="E469" s="63" t="s">
        <v>1070</v>
      </c>
      <c r="F469" s="53"/>
      <c r="G469" s="53">
        <v>2.306</v>
      </c>
      <c r="H469" s="53">
        <v>7.1999999999999995E-2</v>
      </c>
      <c r="I469" s="12">
        <f t="shared" si="132"/>
        <v>2.3780000000000001</v>
      </c>
      <c r="J469" s="52">
        <v>2145.46</v>
      </c>
      <c r="K469" s="52"/>
      <c r="L469" s="52">
        <f>J469+K469</f>
        <v>2145.46</v>
      </c>
      <c r="M469" s="52">
        <f>L469/I469</f>
        <v>902.21194280908321</v>
      </c>
      <c r="N469" s="12" t="e">
        <f t="shared" si="134"/>
        <v>#REF!</v>
      </c>
      <c r="O469" s="12" t="e">
        <f t="shared" si="135"/>
        <v>#REF!</v>
      </c>
      <c r="P469" s="12" t="e">
        <f t="shared" si="136"/>
        <v>#REF!</v>
      </c>
    </row>
    <row r="470" spans="1:16" s="75" customFormat="1" ht="15.75" hidden="1" x14ac:dyDescent="0.25">
      <c r="A470" s="72" t="s">
        <v>1826</v>
      </c>
      <c r="B470" s="72" t="s">
        <v>1126</v>
      </c>
      <c r="C470" s="73" t="s">
        <v>1161</v>
      </c>
      <c r="D470" s="74"/>
      <c r="E470" s="71" t="s">
        <v>1336</v>
      </c>
      <c r="F470" s="76"/>
      <c r="G470" s="71">
        <f t="shared" ref="G470:L470" si="137">G471+G472+G479+G494</f>
        <v>1379.9149999999997</v>
      </c>
      <c r="H470" s="71">
        <f t="shared" si="137"/>
        <v>3.3380000000000001</v>
      </c>
      <c r="I470" s="71">
        <f t="shared" si="137"/>
        <v>1383.2530000000002</v>
      </c>
      <c r="J470" s="71">
        <f t="shared" si="137"/>
        <v>1345540.767</v>
      </c>
      <c r="K470" s="71">
        <f t="shared" si="137"/>
        <v>0</v>
      </c>
      <c r="L470" s="71">
        <f t="shared" si="137"/>
        <v>1345540.767</v>
      </c>
      <c r="M470" s="71">
        <f>L470/I470</f>
        <v>972.73656156899699</v>
      </c>
      <c r="N470" s="71" t="e">
        <f>M470/$M$1429</f>
        <v>#REF!</v>
      </c>
      <c r="O470" s="71" t="e">
        <f>O471+O472+O479+O494</f>
        <v>#REF!</v>
      </c>
      <c r="P470" s="71" t="e">
        <f>P471+P472+P479+P494</f>
        <v>#REF!</v>
      </c>
    </row>
    <row r="471" spans="1:16" ht="15.75" hidden="1" x14ac:dyDescent="0.25">
      <c r="A471" s="14" t="s">
        <v>1826</v>
      </c>
      <c r="B471" s="14" t="s">
        <v>1126</v>
      </c>
      <c r="C471" s="8" t="s">
        <v>1159</v>
      </c>
      <c r="D471" s="28" t="s">
        <v>2077</v>
      </c>
      <c r="E471" s="12" t="s">
        <v>1160</v>
      </c>
      <c r="F471" s="1"/>
      <c r="G471" s="1">
        <v>0</v>
      </c>
      <c r="H471" s="1">
        <v>0</v>
      </c>
      <c r="I471" s="12">
        <f>H471+G471</f>
        <v>0</v>
      </c>
      <c r="J471" s="12"/>
      <c r="K471" s="12"/>
      <c r="L471" s="12"/>
      <c r="M471" s="12"/>
      <c r="N471" s="12"/>
      <c r="O471" s="12"/>
      <c r="P471" s="12"/>
    </row>
    <row r="472" spans="1:16" ht="15.75" hidden="1" x14ac:dyDescent="0.25">
      <c r="A472" s="15" t="s">
        <v>1826</v>
      </c>
      <c r="B472" s="15" t="s">
        <v>1126</v>
      </c>
      <c r="C472" s="10" t="s">
        <v>1127</v>
      </c>
      <c r="D472" s="29"/>
      <c r="E472" s="37" t="s">
        <v>1128</v>
      </c>
      <c r="F472" s="6"/>
      <c r="G472" s="37">
        <f t="shared" ref="G472:L472" si="138">SUM(G473:G478)</f>
        <v>442.69199999999995</v>
      </c>
      <c r="H472" s="37">
        <f>SUM(H473:H478)</f>
        <v>2.2039999999999997</v>
      </c>
      <c r="I472" s="37">
        <f t="shared" si="138"/>
        <v>444.89600000000002</v>
      </c>
      <c r="J472" s="37">
        <f t="shared" si="138"/>
        <v>753238.95199999993</v>
      </c>
      <c r="K472" s="37">
        <f t="shared" si="138"/>
        <v>0</v>
      </c>
      <c r="L472" s="37">
        <f t="shared" si="138"/>
        <v>753238.95199999993</v>
      </c>
      <c r="M472" s="37">
        <f t="shared" ref="M472:M514" si="139">L472/I472</f>
        <v>1693.0674854347981</v>
      </c>
      <c r="N472" s="37" t="e">
        <f>M472/$M$1429</f>
        <v>#REF!</v>
      </c>
      <c r="O472" s="37" t="e">
        <f>SUM(O473:O478)</f>
        <v>#REF!</v>
      </c>
      <c r="P472" s="37" t="e">
        <f>SUM(P473:P478)</f>
        <v>#REF!</v>
      </c>
    </row>
    <row r="473" spans="1:16" ht="15.75" hidden="1" x14ac:dyDescent="0.25">
      <c r="A473" s="14" t="s">
        <v>1826</v>
      </c>
      <c r="B473" s="14" t="s">
        <v>1811</v>
      </c>
      <c r="C473" s="8" t="s">
        <v>1119</v>
      </c>
      <c r="D473" s="28" t="s">
        <v>2078</v>
      </c>
      <c r="E473" s="12" t="s">
        <v>1316</v>
      </c>
      <c r="F473" s="1"/>
      <c r="G473" s="1">
        <v>254.541</v>
      </c>
      <c r="H473" s="1">
        <v>1.7889999999999999</v>
      </c>
      <c r="I473" s="12">
        <f t="shared" ref="I473:I478" si="140">H473+G473</f>
        <v>256.33</v>
      </c>
      <c r="J473" s="12">
        <v>513071.40600000002</v>
      </c>
      <c r="K473" s="12"/>
      <c r="L473" s="12">
        <f t="shared" ref="L473:L478" si="141">J473+K473</f>
        <v>513071.40600000002</v>
      </c>
      <c r="M473" s="12">
        <f t="shared" si="139"/>
        <v>2001.6049857605433</v>
      </c>
      <c r="N473" s="12" t="e">
        <f t="shared" ref="N473:N478" si="142">M473/$M$1431</f>
        <v>#REF!</v>
      </c>
      <c r="O473" s="12" t="e">
        <f t="shared" ref="O473:O478" si="143">ROUND(IF(N473&lt;110%,0,(M473-$M$1431*1.1)*0.8)*I473,1)</f>
        <v>#REF!</v>
      </c>
      <c r="P473" s="12" t="e">
        <f t="shared" ref="P473:P478" si="144">ROUND(IF(N473&gt;90%,0,(-M473+$M$1431*0.9)*0.8)*I473,1)</f>
        <v>#REF!</v>
      </c>
    </row>
    <row r="474" spans="1:16" ht="15.75" hidden="1" x14ac:dyDescent="0.25">
      <c r="A474" s="14" t="s">
        <v>1826</v>
      </c>
      <c r="B474" s="14" t="s">
        <v>1810</v>
      </c>
      <c r="C474" s="8" t="s">
        <v>1119</v>
      </c>
      <c r="D474" s="28" t="s">
        <v>2079</v>
      </c>
      <c r="E474" s="12" t="s">
        <v>1317</v>
      </c>
      <c r="F474" s="1"/>
      <c r="G474" s="1">
        <v>21.468</v>
      </c>
      <c r="H474" s="1">
        <v>1.7000000000000001E-2</v>
      </c>
      <c r="I474" s="12">
        <f t="shared" si="140"/>
        <v>21.484999999999999</v>
      </c>
      <c r="J474" s="12">
        <v>13132.525</v>
      </c>
      <c r="K474" s="12"/>
      <c r="L474" s="12">
        <f t="shared" si="141"/>
        <v>13132.525</v>
      </c>
      <c r="M474" s="12">
        <f t="shared" si="139"/>
        <v>611.24156388177801</v>
      </c>
      <c r="N474" s="12" t="e">
        <f t="shared" si="142"/>
        <v>#REF!</v>
      </c>
      <c r="O474" s="12" t="e">
        <f t="shared" si="143"/>
        <v>#REF!</v>
      </c>
      <c r="P474" s="12" t="e">
        <f t="shared" si="144"/>
        <v>#REF!</v>
      </c>
    </row>
    <row r="475" spans="1:16" ht="15.75" hidden="1" x14ac:dyDescent="0.25">
      <c r="A475" s="14" t="s">
        <v>1826</v>
      </c>
      <c r="B475" s="14" t="s">
        <v>1850</v>
      </c>
      <c r="C475" s="8" t="s">
        <v>1119</v>
      </c>
      <c r="D475" s="28" t="s">
        <v>2080</v>
      </c>
      <c r="E475" s="12" t="s">
        <v>1318</v>
      </c>
      <c r="F475" s="1"/>
      <c r="G475" s="1">
        <v>67.078999999999994</v>
      </c>
      <c r="H475" s="1">
        <v>0.153</v>
      </c>
      <c r="I475" s="12">
        <f t="shared" si="140"/>
        <v>67.231999999999999</v>
      </c>
      <c r="J475" s="12">
        <v>87572.217999999993</v>
      </c>
      <c r="K475" s="12"/>
      <c r="L475" s="12">
        <f t="shared" si="141"/>
        <v>87572.217999999993</v>
      </c>
      <c r="M475" s="12">
        <f t="shared" si="139"/>
        <v>1302.5377498810089</v>
      </c>
      <c r="N475" s="12" t="e">
        <f t="shared" si="142"/>
        <v>#REF!</v>
      </c>
      <c r="O475" s="12" t="e">
        <f t="shared" si="143"/>
        <v>#REF!</v>
      </c>
      <c r="P475" s="12" t="e">
        <f t="shared" si="144"/>
        <v>#REF!</v>
      </c>
    </row>
    <row r="476" spans="1:16" ht="15.75" hidden="1" x14ac:dyDescent="0.25">
      <c r="A476" s="14" t="s">
        <v>1826</v>
      </c>
      <c r="B476" s="14" t="s">
        <v>1855</v>
      </c>
      <c r="C476" s="8" t="s">
        <v>1119</v>
      </c>
      <c r="D476" s="28" t="s">
        <v>2081</v>
      </c>
      <c r="E476" s="12" t="s">
        <v>1319</v>
      </c>
      <c r="F476" s="1"/>
      <c r="G476" s="1">
        <v>60.941000000000003</v>
      </c>
      <c r="H476" s="1">
        <v>0.114</v>
      </c>
      <c r="I476" s="12">
        <f t="shared" si="140"/>
        <v>61.055</v>
      </c>
      <c r="J476" s="12">
        <v>74627.025999999998</v>
      </c>
      <c r="K476" s="12"/>
      <c r="L476" s="12">
        <f t="shared" si="141"/>
        <v>74627.025999999998</v>
      </c>
      <c r="M476" s="12">
        <f t="shared" si="139"/>
        <v>1222.2918024731798</v>
      </c>
      <c r="N476" s="12" t="e">
        <f t="shared" si="142"/>
        <v>#REF!</v>
      </c>
      <c r="O476" s="12" t="e">
        <f t="shared" si="143"/>
        <v>#REF!</v>
      </c>
      <c r="P476" s="12" t="e">
        <f t="shared" si="144"/>
        <v>#REF!</v>
      </c>
    </row>
    <row r="477" spans="1:16" ht="15.75" hidden="1" x14ac:dyDescent="0.25">
      <c r="A477" s="14" t="s">
        <v>1826</v>
      </c>
      <c r="B477" s="14" t="s">
        <v>1818</v>
      </c>
      <c r="C477" s="8" t="s">
        <v>1119</v>
      </c>
      <c r="D477" s="28" t="s">
        <v>2082</v>
      </c>
      <c r="E477" s="12" t="s">
        <v>1320</v>
      </c>
      <c r="F477" s="1"/>
      <c r="G477" s="1">
        <v>23.15</v>
      </c>
      <c r="H477" s="1">
        <v>0.10199999999999999</v>
      </c>
      <c r="I477" s="12">
        <f t="shared" si="140"/>
        <v>23.251999999999999</v>
      </c>
      <c r="J477" s="12">
        <v>24121.48</v>
      </c>
      <c r="K477" s="12"/>
      <c r="L477" s="12">
        <f t="shared" si="141"/>
        <v>24121.48</v>
      </c>
      <c r="M477" s="12">
        <f t="shared" si="139"/>
        <v>1037.393772578703</v>
      </c>
      <c r="N477" s="12" t="e">
        <f t="shared" si="142"/>
        <v>#REF!</v>
      </c>
      <c r="O477" s="12" t="e">
        <f t="shared" si="143"/>
        <v>#REF!</v>
      </c>
      <c r="P477" s="12" t="e">
        <f t="shared" si="144"/>
        <v>#REF!</v>
      </c>
    </row>
    <row r="478" spans="1:16" ht="15.75" hidden="1" x14ac:dyDescent="0.25">
      <c r="A478" s="14" t="s">
        <v>1826</v>
      </c>
      <c r="B478" s="14" t="s">
        <v>1820</v>
      </c>
      <c r="C478" s="8" t="s">
        <v>1119</v>
      </c>
      <c r="D478" s="28" t="s">
        <v>2083</v>
      </c>
      <c r="E478" s="12" t="s">
        <v>1321</v>
      </c>
      <c r="F478" s="1"/>
      <c r="G478" s="1">
        <v>15.513</v>
      </c>
      <c r="H478" s="1">
        <v>2.9000000000000001E-2</v>
      </c>
      <c r="I478" s="12">
        <f t="shared" si="140"/>
        <v>15.542</v>
      </c>
      <c r="J478" s="12">
        <v>40714.296999999999</v>
      </c>
      <c r="K478" s="12"/>
      <c r="L478" s="12">
        <f t="shared" si="141"/>
        <v>40714.296999999999</v>
      </c>
      <c r="M478" s="12">
        <f t="shared" si="139"/>
        <v>2619.6304851370478</v>
      </c>
      <c r="N478" s="12" t="e">
        <f t="shared" si="142"/>
        <v>#REF!</v>
      </c>
      <c r="O478" s="12" t="e">
        <f t="shared" si="143"/>
        <v>#REF!</v>
      </c>
      <c r="P478" s="12" t="e">
        <f t="shared" si="144"/>
        <v>#REF!</v>
      </c>
    </row>
    <row r="479" spans="1:16" ht="15.75" hidden="1" x14ac:dyDescent="0.25">
      <c r="A479" s="15" t="s">
        <v>1826</v>
      </c>
      <c r="B479" s="15" t="s">
        <v>1126</v>
      </c>
      <c r="C479" s="10" t="s">
        <v>1157</v>
      </c>
      <c r="D479" s="29"/>
      <c r="E479" s="37" t="s">
        <v>1158</v>
      </c>
      <c r="F479" s="6"/>
      <c r="G479" s="37">
        <f t="shared" ref="G479:L479" si="145">SUM(G480:G493)</f>
        <v>723.3649999999999</v>
      </c>
      <c r="H479" s="37">
        <f>SUM(H480:H493)</f>
        <v>0.90800000000000014</v>
      </c>
      <c r="I479" s="37">
        <f t="shared" si="145"/>
        <v>724.27300000000014</v>
      </c>
      <c r="J479" s="37">
        <f t="shared" si="145"/>
        <v>491252.17300000001</v>
      </c>
      <c r="K479" s="37">
        <f t="shared" si="145"/>
        <v>0</v>
      </c>
      <c r="L479" s="37">
        <f t="shared" si="145"/>
        <v>491252.17300000001</v>
      </c>
      <c r="M479" s="37">
        <f t="shared" si="139"/>
        <v>678.26934457034838</v>
      </c>
      <c r="N479" s="37" t="e">
        <f>M479/$M$1429</f>
        <v>#REF!</v>
      </c>
      <c r="O479" s="37" t="e">
        <f>SUM(O480:O493)</f>
        <v>#REF!</v>
      </c>
      <c r="P479" s="37" t="e">
        <f>SUM(P480:P493)</f>
        <v>#REF!</v>
      </c>
    </row>
    <row r="480" spans="1:16" ht="15.75" hidden="1" x14ac:dyDescent="0.25">
      <c r="A480" s="14" t="s">
        <v>1826</v>
      </c>
      <c r="B480" s="14" t="s">
        <v>1822</v>
      </c>
      <c r="C480" s="8" t="s">
        <v>1129</v>
      </c>
      <c r="D480" s="28" t="s">
        <v>2084</v>
      </c>
      <c r="E480" s="12" t="s">
        <v>1322</v>
      </c>
      <c r="F480" s="1"/>
      <c r="G480" s="1">
        <v>56.165999999999997</v>
      </c>
      <c r="H480" s="1">
        <v>5.2999999999999999E-2</v>
      </c>
      <c r="I480" s="12">
        <f t="shared" ref="I480:I493" si="146">H480+G480</f>
        <v>56.218999999999994</v>
      </c>
      <c r="J480" s="12">
        <f>44367.716-2727.597</f>
        <v>41640.118999999999</v>
      </c>
      <c r="K480" s="12"/>
      <c r="L480" s="12">
        <f t="shared" ref="L480:L493" si="147">J480+K480</f>
        <v>41640.118999999999</v>
      </c>
      <c r="M480" s="12">
        <f t="shared" si="139"/>
        <v>740.67697753428558</v>
      </c>
      <c r="N480" s="12" t="e">
        <f t="shared" ref="N480:N493" si="148">M480/$M$1432</f>
        <v>#REF!</v>
      </c>
      <c r="O480" s="12" t="e">
        <f t="shared" ref="O480:O493" si="149">ROUND(IF(N480&lt;110%,0,(M480-$M$1432*1.1)*0.8)*I480,1)</f>
        <v>#REF!</v>
      </c>
      <c r="P480" s="12" t="e">
        <f t="shared" ref="P480:P493" si="150">ROUND(IF(N480&gt;90%,0,(-M480+$M$1432*0.9)*0.8)*I480,1)</f>
        <v>#REF!</v>
      </c>
    </row>
    <row r="481" spans="1:16" ht="15.75" hidden="1" x14ac:dyDescent="0.25">
      <c r="A481" s="14" t="s">
        <v>1826</v>
      </c>
      <c r="B481" s="14" t="s">
        <v>1824</v>
      </c>
      <c r="C481" s="8" t="s">
        <v>1129</v>
      </c>
      <c r="D481" s="28" t="s">
        <v>2085</v>
      </c>
      <c r="E481" s="12" t="s">
        <v>1323</v>
      </c>
      <c r="F481" s="1"/>
      <c r="G481" s="1">
        <v>27.896999999999998</v>
      </c>
      <c r="H481" s="1">
        <v>2.9000000000000001E-2</v>
      </c>
      <c r="I481" s="12">
        <f t="shared" si="146"/>
        <v>27.925999999999998</v>
      </c>
      <c r="J481" s="12">
        <v>16517.481</v>
      </c>
      <c r="K481" s="12"/>
      <c r="L481" s="12">
        <f t="shared" si="147"/>
        <v>16517.481</v>
      </c>
      <c r="M481" s="12">
        <f t="shared" si="139"/>
        <v>591.47321492515937</v>
      </c>
      <c r="N481" s="12" t="e">
        <f t="shared" si="148"/>
        <v>#REF!</v>
      </c>
      <c r="O481" s="12" t="e">
        <f t="shared" si="149"/>
        <v>#REF!</v>
      </c>
      <c r="P481" s="12" t="e">
        <f t="shared" si="150"/>
        <v>#REF!</v>
      </c>
    </row>
    <row r="482" spans="1:16" ht="15.75" hidden="1" x14ac:dyDescent="0.25">
      <c r="A482" s="14" t="s">
        <v>1826</v>
      </c>
      <c r="B482" s="14" t="s">
        <v>1826</v>
      </c>
      <c r="C482" s="8" t="s">
        <v>1129</v>
      </c>
      <c r="D482" s="28" t="s">
        <v>2086</v>
      </c>
      <c r="E482" s="12" t="s">
        <v>1324</v>
      </c>
      <c r="F482" s="1"/>
      <c r="G482" s="1">
        <v>37.271999999999998</v>
      </c>
      <c r="H482" s="1">
        <v>6.4000000000000001E-2</v>
      </c>
      <c r="I482" s="12">
        <f t="shared" si="146"/>
        <v>37.335999999999999</v>
      </c>
      <c r="J482" s="12">
        <v>22780.423999999999</v>
      </c>
      <c r="K482" s="12"/>
      <c r="L482" s="12">
        <f t="shared" si="147"/>
        <v>22780.423999999999</v>
      </c>
      <c r="M482" s="12">
        <f t="shared" si="139"/>
        <v>610.14634668952215</v>
      </c>
      <c r="N482" s="12" t="e">
        <f t="shared" si="148"/>
        <v>#REF!</v>
      </c>
      <c r="O482" s="12" t="e">
        <f t="shared" si="149"/>
        <v>#REF!</v>
      </c>
      <c r="P482" s="12" t="e">
        <f t="shared" si="150"/>
        <v>#REF!</v>
      </c>
    </row>
    <row r="483" spans="1:16" ht="15.75" hidden="1" x14ac:dyDescent="0.25">
      <c r="A483" s="14" t="s">
        <v>1826</v>
      </c>
      <c r="B483" s="14">
        <v>10</v>
      </c>
      <c r="C483" s="8" t="s">
        <v>1129</v>
      </c>
      <c r="D483" s="28" t="s">
        <v>2087</v>
      </c>
      <c r="E483" s="12" t="s">
        <v>1325</v>
      </c>
      <c r="F483" s="1"/>
      <c r="G483" s="1">
        <v>53.164000000000001</v>
      </c>
      <c r="H483" s="1">
        <v>6.9000000000000006E-2</v>
      </c>
      <c r="I483" s="12">
        <f t="shared" si="146"/>
        <v>53.233000000000004</v>
      </c>
      <c r="J483" s="12">
        <v>36785.987000000001</v>
      </c>
      <c r="K483" s="12"/>
      <c r="L483" s="12">
        <f t="shared" si="147"/>
        <v>36785.987000000001</v>
      </c>
      <c r="M483" s="12">
        <f t="shared" si="139"/>
        <v>691.03727011440265</v>
      </c>
      <c r="N483" s="12" t="e">
        <f t="shared" si="148"/>
        <v>#REF!</v>
      </c>
      <c r="O483" s="12" t="e">
        <f t="shared" si="149"/>
        <v>#REF!</v>
      </c>
      <c r="P483" s="12" t="e">
        <f t="shared" si="150"/>
        <v>#REF!</v>
      </c>
    </row>
    <row r="484" spans="1:16" ht="15.75" hidden="1" x14ac:dyDescent="0.25">
      <c r="A484" s="14" t="s">
        <v>1826</v>
      </c>
      <c r="B484" s="14">
        <v>11</v>
      </c>
      <c r="C484" s="8" t="s">
        <v>1129</v>
      </c>
      <c r="D484" s="28" t="s">
        <v>2088</v>
      </c>
      <c r="E484" s="12" t="s">
        <v>1326</v>
      </c>
      <c r="F484" s="1"/>
      <c r="G484" s="1">
        <v>63.497999999999998</v>
      </c>
      <c r="H484" s="1">
        <v>0.123</v>
      </c>
      <c r="I484" s="12">
        <f t="shared" si="146"/>
        <v>63.620999999999995</v>
      </c>
      <c r="J484" s="12">
        <v>108886.18700000001</v>
      </c>
      <c r="K484" s="12"/>
      <c r="L484" s="12">
        <f t="shared" si="147"/>
        <v>108886.18700000001</v>
      </c>
      <c r="M484" s="12">
        <f t="shared" si="139"/>
        <v>1711.4818534760536</v>
      </c>
      <c r="N484" s="12" t="e">
        <f t="shared" si="148"/>
        <v>#REF!</v>
      </c>
      <c r="O484" s="12" t="e">
        <f t="shared" si="149"/>
        <v>#REF!</v>
      </c>
      <c r="P484" s="12" t="e">
        <f t="shared" si="150"/>
        <v>#REF!</v>
      </c>
    </row>
    <row r="485" spans="1:16" ht="15.75" hidden="1" customHeight="1" x14ac:dyDescent="0.25">
      <c r="A485" s="14" t="s">
        <v>1826</v>
      </c>
      <c r="B485" s="14">
        <v>12</v>
      </c>
      <c r="C485" s="8" t="s">
        <v>1129</v>
      </c>
      <c r="D485" s="28" t="s">
        <v>2089</v>
      </c>
      <c r="E485" s="12" t="s">
        <v>1327</v>
      </c>
      <c r="F485" s="1"/>
      <c r="G485" s="1">
        <v>40.685000000000002</v>
      </c>
      <c r="H485" s="1">
        <v>3.3000000000000002E-2</v>
      </c>
      <c r="I485" s="12">
        <f t="shared" si="146"/>
        <v>40.718000000000004</v>
      </c>
      <c r="J485" s="12">
        <f>20895.466-240.06-2538.239</f>
        <v>18117.166999999998</v>
      </c>
      <c r="K485" s="12"/>
      <c r="L485" s="12">
        <f t="shared" si="147"/>
        <v>18117.166999999998</v>
      </c>
      <c r="M485" s="12">
        <f t="shared" si="139"/>
        <v>444.9424578810353</v>
      </c>
      <c r="N485" s="12" t="e">
        <f t="shared" si="148"/>
        <v>#REF!</v>
      </c>
      <c r="O485" s="12" t="e">
        <f t="shared" si="149"/>
        <v>#REF!</v>
      </c>
      <c r="P485" s="12" t="e">
        <f t="shared" si="150"/>
        <v>#REF!</v>
      </c>
    </row>
    <row r="486" spans="1:16" ht="15.75" hidden="1" customHeight="1" x14ac:dyDescent="0.25">
      <c r="A486" s="14" t="s">
        <v>1826</v>
      </c>
      <c r="B486" s="14">
        <v>13</v>
      </c>
      <c r="C486" s="8" t="s">
        <v>1129</v>
      </c>
      <c r="D486" s="28" t="s">
        <v>2090</v>
      </c>
      <c r="E486" s="12" t="s">
        <v>1328</v>
      </c>
      <c r="F486" s="1"/>
      <c r="G486" s="1">
        <v>55.335000000000001</v>
      </c>
      <c r="H486" s="1">
        <v>3.4000000000000002E-2</v>
      </c>
      <c r="I486" s="12">
        <f t="shared" si="146"/>
        <v>55.369</v>
      </c>
      <c r="J486" s="12">
        <v>22402.537</v>
      </c>
      <c r="K486" s="12"/>
      <c r="L486" s="12">
        <f t="shared" si="147"/>
        <v>22402.537</v>
      </c>
      <c r="M486" s="12">
        <f t="shared" si="139"/>
        <v>404.60432733117813</v>
      </c>
      <c r="N486" s="12" t="e">
        <f t="shared" si="148"/>
        <v>#REF!</v>
      </c>
      <c r="O486" s="12" t="e">
        <f t="shared" si="149"/>
        <v>#REF!</v>
      </c>
      <c r="P486" s="12" t="e">
        <f t="shared" si="150"/>
        <v>#REF!</v>
      </c>
    </row>
    <row r="487" spans="1:16" ht="15.75" hidden="1" customHeight="1" x14ac:dyDescent="0.25">
      <c r="A487" s="14" t="s">
        <v>1826</v>
      </c>
      <c r="B487" s="14">
        <v>14</v>
      </c>
      <c r="C487" s="8" t="s">
        <v>1129</v>
      </c>
      <c r="D487" s="28" t="s">
        <v>2091</v>
      </c>
      <c r="E487" s="12" t="s">
        <v>1329</v>
      </c>
      <c r="F487" s="1"/>
      <c r="G487" s="1">
        <v>58.341000000000001</v>
      </c>
      <c r="H487" s="1">
        <v>5.1999999999999998E-2</v>
      </c>
      <c r="I487" s="12">
        <f t="shared" si="146"/>
        <v>58.393000000000001</v>
      </c>
      <c r="J487" s="12">
        <f>32832.401-1661.144-3503.266</f>
        <v>27667.990999999998</v>
      </c>
      <c r="K487" s="12"/>
      <c r="L487" s="12">
        <f t="shared" si="147"/>
        <v>27667.990999999998</v>
      </c>
      <c r="M487" s="12">
        <f t="shared" si="139"/>
        <v>473.82376312229201</v>
      </c>
      <c r="N487" s="12" t="e">
        <f t="shared" si="148"/>
        <v>#REF!</v>
      </c>
      <c r="O487" s="12" t="e">
        <f t="shared" si="149"/>
        <v>#REF!</v>
      </c>
      <c r="P487" s="12" t="e">
        <f t="shared" si="150"/>
        <v>#REF!</v>
      </c>
    </row>
    <row r="488" spans="1:16" ht="15.75" hidden="1" customHeight="1" x14ac:dyDescent="0.25">
      <c r="A488" s="14" t="s">
        <v>1826</v>
      </c>
      <c r="B488" s="14">
        <v>15</v>
      </c>
      <c r="C488" s="8" t="s">
        <v>1129</v>
      </c>
      <c r="D488" s="28" t="s">
        <v>2092</v>
      </c>
      <c r="E488" s="12" t="s">
        <v>1330</v>
      </c>
      <c r="F488" s="1"/>
      <c r="G488" s="1">
        <v>79.843000000000004</v>
      </c>
      <c r="H488" s="1">
        <v>6.5000000000000002E-2</v>
      </c>
      <c r="I488" s="12">
        <f t="shared" si="146"/>
        <v>79.908000000000001</v>
      </c>
      <c r="J488" s="12">
        <f>85970.175-1754.578-1838.213-8964.909</f>
        <v>73412.475000000006</v>
      </c>
      <c r="K488" s="12"/>
      <c r="L488" s="12">
        <f t="shared" si="147"/>
        <v>73412.475000000006</v>
      </c>
      <c r="M488" s="12">
        <f t="shared" si="139"/>
        <v>918.71245682534925</v>
      </c>
      <c r="N488" s="12" t="e">
        <f t="shared" si="148"/>
        <v>#REF!</v>
      </c>
      <c r="O488" s="12" t="e">
        <f t="shared" si="149"/>
        <v>#REF!</v>
      </c>
      <c r="P488" s="12" t="e">
        <f t="shared" si="150"/>
        <v>#REF!</v>
      </c>
    </row>
    <row r="489" spans="1:16" ht="15.75" hidden="1" customHeight="1" x14ac:dyDescent="0.25">
      <c r="A489" s="14" t="s">
        <v>1826</v>
      </c>
      <c r="B489" s="14">
        <v>16</v>
      </c>
      <c r="C489" s="8" t="s">
        <v>1129</v>
      </c>
      <c r="D489" s="28" t="s">
        <v>2093</v>
      </c>
      <c r="E489" s="12" t="s">
        <v>1331</v>
      </c>
      <c r="F489" s="1"/>
      <c r="G489" s="1">
        <v>40.732999999999997</v>
      </c>
      <c r="H489" s="1">
        <v>3.2000000000000001E-2</v>
      </c>
      <c r="I489" s="12">
        <f t="shared" si="146"/>
        <v>40.764999999999993</v>
      </c>
      <c r="J489" s="12">
        <v>30599.449000000001</v>
      </c>
      <c r="K489" s="12"/>
      <c r="L489" s="12">
        <f t="shared" si="147"/>
        <v>30599.449000000001</v>
      </c>
      <c r="M489" s="12">
        <f t="shared" si="139"/>
        <v>750.6304182509507</v>
      </c>
      <c r="N489" s="12" t="e">
        <f t="shared" si="148"/>
        <v>#REF!</v>
      </c>
      <c r="O489" s="12" t="e">
        <f t="shared" si="149"/>
        <v>#REF!</v>
      </c>
      <c r="P489" s="12" t="e">
        <f t="shared" si="150"/>
        <v>#REF!</v>
      </c>
    </row>
    <row r="490" spans="1:16" ht="15.75" hidden="1" customHeight="1" x14ac:dyDescent="0.25">
      <c r="A490" s="14" t="s">
        <v>1826</v>
      </c>
      <c r="B490" s="14">
        <v>17</v>
      </c>
      <c r="C490" s="8" t="s">
        <v>1129</v>
      </c>
      <c r="D490" s="28" t="s">
        <v>2094</v>
      </c>
      <c r="E490" s="12" t="s">
        <v>1332</v>
      </c>
      <c r="F490" s="1"/>
      <c r="G490" s="1">
        <v>61.67</v>
      </c>
      <c r="H490" s="1">
        <v>0.13600000000000001</v>
      </c>
      <c r="I490" s="12">
        <f t="shared" si="146"/>
        <v>61.806000000000004</v>
      </c>
      <c r="J490" s="12">
        <f>40085.842-11318.962-914.138</f>
        <v>27852.741999999998</v>
      </c>
      <c r="K490" s="12"/>
      <c r="L490" s="12">
        <f t="shared" si="147"/>
        <v>27852.741999999998</v>
      </c>
      <c r="M490" s="12">
        <f t="shared" si="139"/>
        <v>450.64786590298672</v>
      </c>
      <c r="N490" s="12" t="e">
        <f t="shared" si="148"/>
        <v>#REF!</v>
      </c>
      <c r="O490" s="12" t="e">
        <f t="shared" si="149"/>
        <v>#REF!</v>
      </c>
      <c r="P490" s="12" t="e">
        <f t="shared" si="150"/>
        <v>#REF!</v>
      </c>
    </row>
    <row r="491" spans="1:16" ht="15.75" hidden="1" customHeight="1" x14ac:dyDescent="0.25">
      <c r="A491" s="14" t="s">
        <v>1826</v>
      </c>
      <c r="B491" s="14">
        <v>18</v>
      </c>
      <c r="C491" s="8" t="s">
        <v>1129</v>
      </c>
      <c r="D491" s="28" t="s">
        <v>2095</v>
      </c>
      <c r="E491" s="12" t="s">
        <v>1333</v>
      </c>
      <c r="F491" s="1"/>
      <c r="G491" s="1">
        <v>50.01</v>
      </c>
      <c r="H491" s="1">
        <v>3.7999999999999999E-2</v>
      </c>
      <c r="I491" s="12">
        <f t="shared" si="146"/>
        <v>50.047999999999995</v>
      </c>
      <c r="J491" s="12">
        <f>30451.844-3844.702</f>
        <v>26607.142</v>
      </c>
      <c r="K491" s="12"/>
      <c r="L491" s="12">
        <f t="shared" si="147"/>
        <v>26607.142</v>
      </c>
      <c r="M491" s="12">
        <f t="shared" si="139"/>
        <v>531.632472826087</v>
      </c>
      <c r="N491" s="12" t="e">
        <f t="shared" si="148"/>
        <v>#REF!</v>
      </c>
      <c r="O491" s="12" t="e">
        <f t="shared" si="149"/>
        <v>#REF!</v>
      </c>
      <c r="P491" s="12" t="e">
        <f t="shared" si="150"/>
        <v>#REF!</v>
      </c>
    </row>
    <row r="492" spans="1:16" ht="15.75" hidden="1" customHeight="1" x14ac:dyDescent="0.25">
      <c r="A492" s="14" t="s">
        <v>1826</v>
      </c>
      <c r="B492" s="14">
        <v>19</v>
      </c>
      <c r="C492" s="8" t="s">
        <v>1129</v>
      </c>
      <c r="D492" s="28" t="s">
        <v>2096</v>
      </c>
      <c r="E492" s="12" t="s">
        <v>1334</v>
      </c>
      <c r="F492" s="1"/>
      <c r="G492" s="1">
        <v>75.091999999999999</v>
      </c>
      <c r="H492" s="1">
        <v>0.16700000000000001</v>
      </c>
      <c r="I492" s="12">
        <f t="shared" si="146"/>
        <v>75.259</v>
      </c>
      <c r="J492" s="12">
        <f>57075.923-25113.59</f>
        <v>31962.333000000002</v>
      </c>
      <c r="K492" s="12"/>
      <c r="L492" s="12">
        <f t="shared" si="147"/>
        <v>31962.333000000002</v>
      </c>
      <c r="M492" s="12">
        <f t="shared" si="139"/>
        <v>424.69781687240067</v>
      </c>
      <c r="N492" s="12" t="e">
        <f t="shared" si="148"/>
        <v>#REF!</v>
      </c>
      <c r="O492" s="12" t="e">
        <f t="shared" si="149"/>
        <v>#REF!</v>
      </c>
      <c r="P492" s="12" t="e">
        <f t="shared" si="150"/>
        <v>#REF!</v>
      </c>
    </row>
    <row r="493" spans="1:16" ht="15.75" hidden="1" customHeight="1" x14ac:dyDescent="0.25">
      <c r="A493" s="14" t="s">
        <v>1826</v>
      </c>
      <c r="B493" s="14">
        <v>20</v>
      </c>
      <c r="C493" s="8" t="s">
        <v>1129</v>
      </c>
      <c r="D493" s="28" t="s">
        <v>2097</v>
      </c>
      <c r="E493" s="12" t="s">
        <v>1335</v>
      </c>
      <c r="F493" s="1"/>
      <c r="G493" s="1">
        <v>23.658999999999999</v>
      </c>
      <c r="H493" s="1">
        <v>1.2999999999999999E-2</v>
      </c>
      <c r="I493" s="12">
        <f t="shared" si="146"/>
        <v>23.672000000000001</v>
      </c>
      <c r="J493" s="12">
        <f>7330.68-1310.541</f>
        <v>6020.1390000000001</v>
      </c>
      <c r="K493" s="12"/>
      <c r="L493" s="12">
        <f t="shared" si="147"/>
        <v>6020.1390000000001</v>
      </c>
      <c r="M493" s="12">
        <f t="shared" si="139"/>
        <v>254.31476005407231</v>
      </c>
      <c r="N493" s="12" t="e">
        <f t="shared" si="148"/>
        <v>#REF!</v>
      </c>
      <c r="O493" s="12" t="e">
        <f t="shared" si="149"/>
        <v>#REF!</v>
      </c>
      <c r="P493" s="12" t="e">
        <f t="shared" si="150"/>
        <v>#REF!</v>
      </c>
    </row>
    <row r="494" spans="1:16" ht="15.75" hidden="1" customHeight="1" x14ac:dyDescent="0.25">
      <c r="A494" s="15" t="s">
        <v>1826</v>
      </c>
      <c r="B494" s="15" t="s">
        <v>1126</v>
      </c>
      <c r="C494" s="10" t="s">
        <v>1743</v>
      </c>
      <c r="D494" s="29"/>
      <c r="E494" s="37" t="s">
        <v>1747</v>
      </c>
      <c r="F494" s="6"/>
      <c r="G494" s="37">
        <f t="shared" ref="G494:L494" si="151">SUM(G495:G517)</f>
        <v>213.85799999999998</v>
      </c>
      <c r="H494" s="37">
        <f>SUM(H495:H517)</f>
        <v>0.22600000000000003</v>
      </c>
      <c r="I494" s="37">
        <f t="shared" si="151"/>
        <v>214.08399999999997</v>
      </c>
      <c r="J494" s="37">
        <f t="shared" si="151"/>
        <v>101049.64200000001</v>
      </c>
      <c r="K494" s="37">
        <f t="shared" si="151"/>
        <v>0</v>
      </c>
      <c r="L494" s="37">
        <f t="shared" si="151"/>
        <v>101049.64200000001</v>
      </c>
      <c r="M494" s="37">
        <f t="shared" si="139"/>
        <v>472.00931410100719</v>
      </c>
      <c r="N494" s="37" t="e">
        <f>M494/$M$1429</f>
        <v>#REF!</v>
      </c>
      <c r="O494" s="37" t="e">
        <f>SUM(O495:O517)</f>
        <v>#REF!</v>
      </c>
      <c r="P494" s="37" t="e">
        <f>SUM(P495:P517)</f>
        <v>#REF!</v>
      </c>
    </row>
    <row r="495" spans="1:16" ht="15.75" hidden="1" customHeight="1" x14ac:dyDescent="0.25">
      <c r="A495" s="14" t="s">
        <v>1826</v>
      </c>
      <c r="B495" s="14">
        <v>21</v>
      </c>
      <c r="C495" s="8" t="s">
        <v>1744</v>
      </c>
      <c r="D495" s="31" t="s">
        <v>2098</v>
      </c>
      <c r="E495" s="12" t="s">
        <v>1755</v>
      </c>
      <c r="F495" s="1"/>
      <c r="G495" s="1">
        <v>10.611000000000001</v>
      </c>
      <c r="H495" s="1">
        <v>6.0000000000000001E-3</v>
      </c>
      <c r="I495" s="12">
        <f t="shared" ref="I495:I517" si="152">H495+G495</f>
        <v>10.617000000000001</v>
      </c>
      <c r="J495" s="12">
        <v>3094.0349999999999</v>
      </c>
      <c r="K495" s="12"/>
      <c r="L495" s="12">
        <f t="shared" ref="L495:L514" si="153">J495+K495</f>
        <v>3094.0349999999999</v>
      </c>
      <c r="M495" s="12">
        <f t="shared" si="139"/>
        <v>291.42271828200052</v>
      </c>
      <c r="N495" s="12" t="e">
        <f t="shared" ref="N495:N517" si="154">M495/$M$1433</f>
        <v>#REF!</v>
      </c>
      <c r="O495" s="12" t="e">
        <f t="shared" ref="O495:O517" si="155">ROUND(IF(N495&lt;110%,0,(M495-$M$1433*1.1)*0.8)*I495,1)</f>
        <v>#REF!</v>
      </c>
      <c r="P495" s="12" t="e">
        <f t="shared" ref="P495:P517" si="156">ROUND(IF(N495&gt;90%,0,(-M495+$M$1433*0.9)*0.8)*I495,1)</f>
        <v>#REF!</v>
      </c>
    </row>
    <row r="496" spans="1:16" ht="15.75" hidden="1" customHeight="1" x14ac:dyDescent="0.25">
      <c r="A496" s="14" t="s">
        <v>1826</v>
      </c>
      <c r="B496" s="14">
        <v>22</v>
      </c>
      <c r="C496" s="8" t="s">
        <v>1744</v>
      </c>
      <c r="D496" s="31" t="s">
        <v>2099</v>
      </c>
      <c r="E496" s="12" t="s">
        <v>1756</v>
      </c>
      <c r="F496" s="1"/>
      <c r="G496" s="1">
        <v>17.495999999999999</v>
      </c>
      <c r="H496" s="1">
        <v>1.6E-2</v>
      </c>
      <c r="I496" s="12">
        <f t="shared" si="152"/>
        <v>17.511999999999997</v>
      </c>
      <c r="J496" s="12">
        <v>4443.6319999999996</v>
      </c>
      <c r="K496" s="12"/>
      <c r="L496" s="12">
        <f t="shared" si="153"/>
        <v>4443.6319999999996</v>
      </c>
      <c r="M496" s="12">
        <f t="shared" si="139"/>
        <v>253.74783005938787</v>
      </c>
      <c r="N496" s="12" t="e">
        <f t="shared" si="154"/>
        <v>#REF!</v>
      </c>
      <c r="O496" s="12" t="e">
        <f t="shared" si="155"/>
        <v>#REF!</v>
      </c>
      <c r="P496" s="12" t="e">
        <f t="shared" si="156"/>
        <v>#REF!</v>
      </c>
    </row>
    <row r="497" spans="1:16" ht="15.75" hidden="1" customHeight="1" x14ac:dyDescent="0.25">
      <c r="A497" s="14" t="s">
        <v>1826</v>
      </c>
      <c r="B497" s="14">
        <v>23</v>
      </c>
      <c r="C497" s="8" t="s">
        <v>1744</v>
      </c>
      <c r="D497" s="31" t="s">
        <v>2100</v>
      </c>
      <c r="E497" s="12" t="s">
        <v>1757</v>
      </c>
      <c r="F497" s="1"/>
      <c r="G497" s="1">
        <v>6.0759999999999996</v>
      </c>
      <c r="H497" s="1">
        <v>2E-3</v>
      </c>
      <c r="I497" s="12">
        <f t="shared" si="152"/>
        <v>6.0779999999999994</v>
      </c>
      <c r="J497" s="12">
        <v>1650.864</v>
      </c>
      <c r="K497" s="12"/>
      <c r="L497" s="12">
        <f t="shared" si="153"/>
        <v>1650.864</v>
      </c>
      <c r="M497" s="12">
        <f t="shared" si="139"/>
        <v>271.61303060217182</v>
      </c>
      <c r="N497" s="12" t="e">
        <f t="shared" si="154"/>
        <v>#REF!</v>
      </c>
      <c r="O497" s="12" t="e">
        <f t="shared" si="155"/>
        <v>#REF!</v>
      </c>
      <c r="P497" s="12" t="e">
        <f t="shared" si="156"/>
        <v>#REF!</v>
      </c>
    </row>
    <row r="498" spans="1:16" ht="15.75" hidden="1" customHeight="1" x14ac:dyDescent="0.25">
      <c r="A498" s="14" t="s">
        <v>1826</v>
      </c>
      <c r="B498" s="14">
        <v>24</v>
      </c>
      <c r="C498" s="19" t="s">
        <v>1744</v>
      </c>
      <c r="D498" s="31" t="s">
        <v>115</v>
      </c>
      <c r="E498" s="12" t="s">
        <v>92</v>
      </c>
      <c r="F498" s="1"/>
      <c r="G498" s="1">
        <v>2.7610000000000001</v>
      </c>
      <c r="H498" s="1">
        <v>4.0000000000000001E-3</v>
      </c>
      <c r="I498" s="12">
        <f t="shared" si="152"/>
        <v>2.7650000000000001</v>
      </c>
      <c r="J498" s="12">
        <v>1204.8109999999999</v>
      </c>
      <c r="K498" s="12"/>
      <c r="L498" s="12">
        <f t="shared" si="153"/>
        <v>1204.8109999999999</v>
      </c>
      <c r="M498" s="12">
        <f t="shared" si="139"/>
        <v>435.73634719710662</v>
      </c>
      <c r="N498" s="12" t="e">
        <f t="shared" si="154"/>
        <v>#REF!</v>
      </c>
      <c r="O498" s="12" t="e">
        <f t="shared" si="155"/>
        <v>#REF!</v>
      </c>
      <c r="P498" s="12" t="e">
        <f t="shared" si="156"/>
        <v>#REF!</v>
      </c>
    </row>
    <row r="499" spans="1:16" ht="15.75" hidden="1" customHeight="1" x14ac:dyDescent="0.25">
      <c r="A499" s="14" t="s">
        <v>1826</v>
      </c>
      <c r="B499" s="14">
        <v>25</v>
      </c>
      <c r="C499" s="19" t="s">
        <v>1744</v>
      </c>
      <c r="D499" s="31" t="s">
        <v>299</v>
      </c>
      <c r="E499" s="12" t="s">
        <v>300</v>
      </c>
      <c r="F499" s="1"/>
      <c r="G499" s="1">
        <v>18.242999999999999</v>
      </c>
      <c r="H499" s="1">
        <v>1.7999999999999999E-2</v>
      </c>
      <c r="I499" s="12">
        <f t="shared" si="152"/>
        <v>18.260999999999999</v>
      </c>
      <c r="J499" s="12">
        <v>11847.743</v>
      </c>
      <c r="K499" s="12"/>
      <c r="L499" s="12">
        <f t="shared" si="153"/>
        <v>11847.743</v>
      </c>
      <c r="M499" s="12">
        <f t="shared" si="139"/>
        <v>648.80033952138444</v>
      </c>
      <c r="N499" s="12" t="e">
        <f t="shared" si="154"/>
        <v>#REF!</v>
      </c>
      <c r="O499" s="12" t="e">
        <f t="shared" si="155"/>
        <v>#REF!</v>
      </c>
      <c r="P499" s="12" t="e">
        <f t="shared" si="156"/>
        <v>#REF!</v>
      </c>
    </row>
    <row r="500" spans="1:16" ht="15.75" hidden="1" customHeight="1" x14ac:dyDescent="0.25">
      <c r="A500" s="14" t="s">
        <v>1826</v>
      </c>
      <c r="B500" s="14">
        <v>26</v>
      </c>
      <c r="C500" s="19" t="s">
        <v>1744</v>
      </c>
      <c r="D500" s="31" t="s">
        <v>301</v>
      </c>
      <c r="E500" s="12" t="s">
        <v>302</v>
      </c>
      <c r="F500" s="1"/>
      <c r="G500" s="1">
        <v>6.3689999999999998</v>
      </c>
      <c r="H500" s="1">
        <v>4.0000000000000001E-3</v>
      </c>
      <c r="I500" s="12">
        <f t="shared" si="152"/>
        <v>6.3729999999999993</v>
      </c>
      <c r="J500" s="12">
        <v>2587.585</v>
      </c>
      <c r="K500" s="12"/>
      <c r="L500" s="12">
        <f t="shared" si="153"/>
        <v>2587.585</v>
      </c>
      <c r="M500" s="12">
        <f t="shared" si="139"/>
        <v>406.02306605994045</v>
      </c>
      <c r="N500" s="12" t="e">
        <f t="shared" si="154"/>
        <v>#REF!</v>
      </c>
      <c r="O500" s="12" t="e">
        <f t="shared" si="155"/>
        <v>#REF!</v>
      </c>
      <c r="P500" s="12" t="e">
        <f t="shared" si="156"/>
        <v>#REF!</v>
      </c>
    </row>
    <row r="501" spans="1:16" ht="15.75" hidden="1" x14ac:dyDescent="0.25">
      <c r="A501" s="14" t="s">
        <v>1826</v>
      </c>
      <c r="B501" s="14">
        <v>27</v>
      </c>
      <c r="C501" s="19" t="s">
        <v>1744</v>
      </c>
      <c r="D501" s="31" t="s">
        <v>303</v>
      </c>
      <c r="E501" s="12" t="s">
        <v>304</v>
      </c>
      <c r="F501" s="1"/>
      <c r="G501" s="1">
        <v>5.9749999999999996</v>
      </c>
      <c r="H501" s="1">
        <v>0.03</v>
      </c>
      <c r="I501" s="12">
        <f t="shared" si="152"/>
        <v>6.0049999999999999</v>
      </c>
      <c r="J501" s="12">
        <v>1675.085</v>
      </c>
      <c r="K501" s="12"/>
      <c r="L501" s="12">
        <f t="shared" si="153"/>
        <v>1675.085</v>
      </c>
      <c r="M501" s="12">
        <f t="shared" si="139"/>
        <v>278.94837635303912</v>
      </c>
      <c r="N501" s="12" t="e">
        <f t="shared" si="154"/>
        <v>#REF!</v>
      </c>
      <c r="O501" s="12" t="e">
        <f t="shared" si="155"/>
        <v>#REF!</v>
      </c>
      <c r="P501" s="12" t="e">
        <f t="shared" si="156"/>
        <v>#REF!</v>
      </c>
    </row>
    <row r="502" spans="1:16" ht="15.75" hidden="1" x14ac:dyDescent="0.25">
      <c r="A502" s="14" t="s">
        <v>1826</v>
      </c>
      <c r="B502" s="14">
        <v>28</v>
      </c>
      <c r="C502" s="19" t="s">
        <v>1744</v>
      </c>
      <c r="D502" s="31" t="s">
        <v>305</v>
      </c>
      <c r="E502" s="12" t="s">
        <v>306</v>
      </c>
      <c r="F502" s="1"/>
      <c r="G502" s="1">
        <v>8.3350000000000009</v>
      </c>
      <c r="H502" s="1">
        <v>3.0000000000000001E-3</v>
      </c>
      <c r="I502" s="12">
        <f t="shared" si="152"/>
        <v>8.338000000000001</v>
      </c>
      <c r="J502" s="12">
        <v>1856.1120000000001</v>
      </c>
      <c r="K502" s="12"/>
      <c r="L502" s="12">
        <f t="shared" si="153"/>
        <v>1856.1120000000001</v>
      </c>
      <c r="M502" s="12">
        <f t="shared" si="139"/>
        <v>222.6087790837131</v>
      </c>
      <c r="N502" s="12" t="e">
        <f t="shared" si="154"/>
        <v>#REF!</v>
      </c>
      <c r="O502" s="12" t="e">
        <f t="shared" si="155"/>
        <v>#REF!</v>
      </c>
      <c r="P502" s="12" t="e">
        <f t="shared" si="156"/>
        <v>#REF!</v>
      </c>
    </row>
    <row r="503" spans="1:16" ht="15.75" hidden="1" x14ac:dyDescent="0.25">
      <c r="A503" s="14" t="s">
        <v>1826</v>
      </c>
      <c r="B503" s="14">
        <v>29</v>
      </c>
      <c r="C503" s="19" t="s">
        <v>1744</v>
      </c>
      <c r="D503" s="31" t="s">
        <v>307</v>
      </c>
      <c r="E503" s="12" t="s">
        <v>308</v>
      </c>
      <c r="F503" s="1"/>
      <c r="G503" s="1">
        <v>6.7130000000000001</v>
      </c>
      <c r="H503" s="1">
        <v>5.0000000000000001E-3</v>
      </c>
      <c r="I503" s="12">
        <f t="shared" si="152"/>
        <v>6.718</v>
      </c>
      <c r="J503" s="12">
        <v>2326.6190000000001</v>
      </c>
      <c r="K503" s="12"/>
      <c r="L503" s="12">
        <f t="shared" si="153"/>
        <v>2326.6190000000001</v>
      </c>
      <c r="M503" s="12">
        <f t="shared" si="139"/>
        <v>346.32613873176541</v>
      </c>
      <c r="N503" s="12" t="e">
        <f t="shared" si="154"/>
        <v>#REF!</v>
      </c>
      <c r="O503" s="12" t="e">
        <f t="shared" si="155"/>
        <v>#REF!</v>
      </c>
      <c r="P503" s="12" t="e">
        <f t="shared" si="156"/>
        <v>#REF!</v>
      </c>
    </row>
    <row r="504" spans="1:16" ht="15.75" hidden="1" x14ac:dyDescent="0.25">
      <c r="A504" s="14" t="s">
        <v>1826</v>
      </c>
      <c r="B504" s="14">
        <v>30</v>
      </c>
      <c r="C504" s="19" t="s">
        <v>1744</v>
      </c>
      <c r="D504" s="31" t="s">
        <v>309</v>
      </c>
      <c r="E504" s="12" t="s">
        <v>310</v>
      </c>
      <c r="F504" s="1"/>
      <c r="G504" s="1">
        <v>9.718</v>
      </c>
      <c r="H504" s="1">
        <v>1.7000000000000001E-2</v>
      </c>
      <c r="I504" s="12">
        <f t="shared" si="152"/>
        <v>9.7349999999999994</v>
      </c>
      <c r="J504" s="12">
        <v>2526.2269999999999</v>
      </c>
      <c r="K504" s="12"/>
      <c r="L504" s="12">
        <f t="shared" si="153"/>
        <v>2526.2269999999999</v>
      </c>
      <c r="M504" s="12">
        <f t="shared" si="139"/>
        <v>259.49943502824857</v>
      </c>
      <c r="N504" s="12" t="e">
        <f t="shared" si="154"/>
        <v>#REF!</v>
      </c>
      <c r="O504" s="12" t="e">
        <f t="shared" si="155"/>
        <v>#REF!</v>
      </c>
      <c r="P504" s="12" t="e">
        <f t="shared" si="156"/>
        <v>#REF!</v>
      </c>
    </row>
    <row r="505" spans="1:16" ht="15.75" hidden="1" x14ac:dyDescent="0.25">
      <c r="A505" s="14" t="s">
        <v>1826</v>
      </c>
      <c r="B505" s="14">
        <v>31</v>
      </c>
      <c r="C505" s="19" t="s">
        <v>1744</v>
      </c>
      <c r="D505" s="31" t="s">
        <v>311</v>
      </c>
      <c r="E505" s="12" t="s">
        <v>312</v>
      </c>
      <c r="F505" s="1"/>
      <c r="G505" s="1">
        <v>9.7379999999999995</v>
      </c>
      <c r="H505" s="1">
        <v>6.0000000000000001E-3</v>
      </c>
      <c r="I505" s="12">
        <f t="shared" si="152"/>
        <v>9.7439999999999998</v>
      </c>
      <c r="J505" s="12">
        <v>2106.9899999999998</v>
      </c>
      <c r="K505" s="12"/>
      <c r="L505" s="12">
        <f t="shared" si="153"/>
        <v>2106.9899999999998</v>
      </c>
      <c r="M505" s="12">
        <f t="shared" si="139"/>
        <v>216.23460591133002</v>
      </c>
      <c r="N505" s="12" t="e">
        <f t="shared" si="154"/>
        <v>#REF!</v>
      </c>
      <c r="O505" s="12" t="e">
        <f t="shared" si="155"/>
        <v>#REF!</v>
      </c>
      <c r="P505" s="12" t="e">
        <f t="shared" si="156"/>
        <v>#REF!</v>
      </c>
    </row>
    <row r="506" spans="1:16" ht="15.75" hidden="1" x14ac:dyDescent="0.25">
      <c r="A506" s="14" t="s">
        <v>1826</v>
      </c>
      <c r="B506" s="14">
        <v>32</v>
      </c>
      <c r="C506" s="19" t="s">
        <v>1744</v>
      </c>
      <c r="D506" s="31" t="s">
        <v>538</v>
      </c>
      <c r="E506" s="42" t="s">
        <v>739</v>
      </c>
      <c r="F506" s="43"/>
      <c r="G506" s="43">
        <v>5.7229999999999999</v>
      </c>
      <c r="H506" s="43">
        <v>2E-3</v>
      </c>
      <c r="I506" s="12">
        <f t="shared" si="152"/>
        <v>5.7249999999999996</v>
      </c>
      <c r="J506" s="42">
        <v>1310.5409999999999</v>
      </c>
      <c r="K506" s="42"/>
      <c r="L506" s="42">
        <f t="shared" si="153"/>
        <v>1310.5409999999999</v>
      </c>
      <c r="M506" s="42">
        <f t="shared" si="139"/>
        <v>228.91545851528386</v>
      </c>
      <c r="N506" s="12" t="e">
        <f t="shared" si="154"/>
        <v>#REF!</v>
      </c>
      <c r="O506" s="12" t="e">
        <f t="shared" si="155"/>
        <v>#REF!</v>
      </c>
      <c r="P506" s="12" t="e">
        <f t="shared" si="156"/>
        <v>#REF!</v>
      </c>
    </row>
    <row r="507" spans="1:16" ht="15.75" hidden="1" x14ac:dyDescent="0.25">
      <c r="A507" s="49" t="s">
        <v>1826</v>
      </c>
      <c r="B507" s="49">
        <v>33</v>
      </c>
      <c r="C507" s="54" t="s">
        <v>1744</v>
      </c>
      <c r="D507" s="55" t="s">
        <v>740</v>
      </c>
      <c r="E507" s="52" t="s">
        <v>741</v>
      </c>
      <c r="F507" s="53"/>
      <c r="G507" s="53">
        <v>7.6740000000000004</v>
      </c>
      <c r="H507" s="53">
        <v>1.7000000000000001E-2</v>
      </c>
      <c r="I507" s="12">
        <f t="shared" si="152"/>
        <v>7.6910000000000007</v>
      </c>
      <c r="J507" s="52">
        <v>2727.5970000000002</v>
      </c>
      <c r="K507" s="52"/>
      <c r="L507" s="52">
        <f t="shared" si="153"/>
        <v>2727.5970000000002</v>
      </c>
      <c r="M507" s="52">
        <f t="shared" si="139"/>
        <v>354.64790014302429</v>
      </c>
      <c r="N507" s="12" t="e">
        <f t="shared" si="154"/>
        <v>#REF!</v>
      </c>
      <c r="O507" s="12" t="e">
        <f t="shared" si="155"/>
        <v>#REF!</v>
      </c>
      <c r="P507" s="12" t="e">
        <f t="shared" si="156"/>
        <v>#REF!</v>
      </c>
    </row>
    <row r="508" spans="1:16" ht="15.75" hidden="1" x14ac:dyDescent="0.25">
      <c r="A508" s="49" t="s">
        <v>1826</v>
      </c>
      <c r="B508" s="49">
        <v>34</v>
      </c>
      <c r="C508" s="54" t="s">
        <v>1744</v>
      </c>
      <c r="D508" s="55" t="s">
        <v>742</v>
      </c>
      <c r="E508" s="52" t="s">
        <v>743</v>
      </c>
      <c r="F508" s="53"/>
      <c r="G508" s="53">
        <v>11.128</v>
      </c>
      <c r="H508" s="53">
        <v>5.0000000000000001E-3</v>
      </c>
      <c r="I508" s="12">
        <f t="shared" si="152"/>
        <v>11.133000000000001</v>
      </c>
      <c r="J508" s="52">
        <v>1661.144</v>
      </c>
      <c r="K508" s="52"/>
      <c r="L508" s="52">
        <f t="shared" si="153"/>
        <v>1661.144</v>
      </c>
      <c r="M508" s="52">
        <f t="shared" si="139"/>
        <v>149.20901823407885</v>
      </c>
      <c r="N508" s="12" t="e">
        <f t="shared" si="154"/>
        <v>#REF!</v>
      </c>
      <c r="O508" s="12" t="e">
        <f t="shared" si="155"/>
        <v>#REF!</v>
      </c>
      <c r="P508" s="12" t="e">
        <f t="shared" si="156"/>
        <v>#REF!</v>
      </c>
    </row>
    <row r="509" spans="1:16" ht="15.75" hidden="1" x14ac:dyDescent="0.25">
      <c r="A509" s="49" t="s">
        <v>1826</v>
      </c>
      <c r="B509" s="49">
        <v>35</v>
      </c>
      <c r="C509" s="54" t="s">
        <v>1744</v>
      </c>
      <c r="D509" s="55" t="s">
        <v>744</v>
      </c>
      <c r="E509" s="52" t="s">
        <v>745</v>
      </c>
      <c r="F509" s="53"/>
      <c r="G509" s="53">
        <v>10.305999999999999</v>
      </c>
      <c r="H509" s="53">
        <v>0.01</v>
      </c>
      <c r="I509" s="12">
        <f t="shared" si="152"/>
        <v>10.315999999999999</v>
      </c>
      <c r="J509" s="52">
        <v>3503.2660000000001</v>
      </c>
      <c r="K509" s="52"/>
      <c r="L509" s="52">
        <f t="shared" si="153"/>
        <v>3503.2660000000001</v>
      </c>
      <c r="M509" s="52">
        <f t="shared" si="139"/>
        <v>339.59538580845293</v>
      </c>
      <c r="N509" s="12" t="e">
        <f t="shared" si="154"/>
        <v>#REF!</v>
      </c>
      <c r="O509" s="12" t="e">
        <f t="shared" si="155"/>
        <v>#REF!</v>
      </c>
      <c r="P509" s="12" t="e">
        <f t="shared" si="156"/>
        <v>#REF!</v>
      </c>
    </row>
    <row r="510" spans="1:16" ht="15.75" hidden="1" x14ac:dyDescent="0.25">
      <c r="A510" s="49" t="s">
        <v>1826</v>
      </c>
      <c r="B510" s="49">
        <v>36</v>
      </c>
      <c r="C510" s="54" t="s">
        <v>1744</v>
      </c>
      <c r="D510" s="55" t="s">
        <v>746</v>
      </c>
      <c r="E510" s="52" t="s">
        <v>747</v>
      </c>
      <c r="F510" s="53"/>
      <c r="G510" s="53">
        <v>8.3140000000000001</v>
      </c>
      <c r="H510" s="53">
        <v>0</v>
      </c>
      <c r="I510" s="12">
        <f t="shared" si="152"/>
        <v>8.3140000000000001</v>
      </c>
      <c r="J510" s="52">
        <v>1754.578</v>
      </c>
      <c r="K510" s="52"/>
      <c r="L510" s="52">
        <f t="shared" si="153"/>
        <v>1754.578</v>
      </c>
      <c r="M510" s="52">
        <f t="shared" si="139"/>
        <v>211.03897041135434</v>
      </c>
      <c r="N510" s="12" t="e">
        <f t="shared" si="154"/>
        <v>#REF!</v>
      </c>
      <c r="O510" s="12" t="e">
        <f t="shared" si="155"/>
        <v>#REF!</v>
      </c>
      <c r="P510" s="12" t="e">
        <f t="shared" si="156"/>
        <v>#REF!</v>
      </c>
    </row>
    <row r="511" spans="1:16" ht="15.75" hidden="1" x14ac:dyDescent="0.25">
      <c r="A511" s="49" t="s">
        <v>1826</v>
      </c>
      <c r="B511" s="49">
        <v>37</v>
      </c>
      <c r="C511" s="54" t="s">
        <v>1744</v>
      </c>
      <c r="D511" s="55" t="s">
        <v>748</v>
      </c>
      <c r="E511" s="52" t="s">
        <v>749</v>
      </c>
      <c r="F511" s="53"/>
      <c r="G511" s="53">
        <v>9.9049999999999994</v>
      </c>
      <c r="H511" s="53">
        <v>8.0000000000000002E-3</v>
      </c>
      <c r="I511" s="12">
        <f t="shared" si="152"/>
        <v>9.9129999999999985</v>
      </c>
      <c r="J511" s="52">
        <v>1838.213</v>
      </c>
      <c r="K511" s="52"/>
      <c r="L511" s="52">
        <f t="shared" si="153"/>
        <v>1838.213</v>
      </c>
      <c r="M511" s="52">
        <f t="shared" si="139"/>
        <v>185.43458085342482</v>
      </c>
      <c r="N511" s="12" t="e">
        <f t="shared" si="154"/>
        <v>#REF!</v>
      </c>
      <c r="O511" s="12" t="e">
        <f t="shared" si="155"/>
        <v>#REF!</v>
      </c>
      <c r="P511" s="12" t="e">
        <f t="shared" si="156"/>
        <v>#REF!</v>
      </c>
    </row>
    <row r="512" spans="1:16" ht="15.75" hidden="1" x14ac:dyDescent="0.25">
      <c r="A512" s="49" t="s">
        <v>1826</v>
      </c>
      <c r="B512" s="49">
        <v>38</v>
      </c>
      <c r="C512" s="54" t="s">
        <v>1744</v>
      </c>
      <c r="D512" s="55" t="s">
        <v>750</v>
      </c>
      <c r="E512" s="52" t="s">
        <v>751</v>
      </c>
      <c r="F512" s="53"/>
      <c r="G512" s="53">
        <v>14.997999999999999</v>
      </c>
      <c r="H512" s="53">
        <v>1.7000000000000001E-2</v>
      </c>
      <c r="I512" s="12">
        <f t="shared" si="152"/>
        <v>15.014999999999999</v>
      </c>
      <c r="J512" s="52">
        <v>3844.7020000000002</v>
      </c>
      <c r="K512" s="52"/>
      <c r="L512" s="52">
        <f t="shared" si="153"/>
        <v>3844.7020000000002</v>
      </c>
      <c r="M512" s="52">
        <f t="shared" si="139"/>
        <v>256.05740925740929</v>
      </c>
      <c r="N512" s="12" t="e">
        <f t="shared" si="154"/>
        <v>#REF!</v>
      </c>
      <c r="O512" s="12" t="e">
        <f t="shared" si="155"/>
        <v>#REF!</v>
      </c>
      <c r="P512" s="12" t="e">
        <f t="shared" si="156"/>
        <v>#REF!</v>
      </c>
    </row>
    <row r="513" spans="1:16" ht="15.75" hidden="1" x14ac:dyDescent="0.25">
      <c r="A513" s="49" t="s">
        <v>1826</v>
      </c>
      <c r="B513" s="49">
        <v>39</v>
      </c>
      <c r="C513" s="54" t="s">
        <v>1744</v>
      </c>
      <c r="D513" s="55" t="s">
        <v>752</v>
      </c>
      <c r="E513" s="52" t="s">
        <v>753</v>
      </c>
      <c r="F513" s="53"/>
      <c r="G513" s="53">
        <v>7.915</v>
      </c>
      <c r="H513" s="53">
        <v>6.0000000000000001E-3</v>
      </c>
      <c r="I513" s="12">
        <f t="shared" si="152"/>
        <v>7.9210000000000003</v>
      </c>
      <c r="J513" s="52">
        <v>25113.59</v>
      </c>
      <c r="K513" s="52"/>
      <c r="L513" s="52">
        <f t="shared" si="153"/>
        <v>25113.59</v>
      </c>
      <c r="M513" s="52">
        <f t="shared" si="139"/>
        <v>3170.5075116778185</v>
      </c>
      <c r="N513" s="12" t="e">
        <f t="shared" si="154"/>
        <v>#REF!</v>
      </c>
      <c r="O513" s="12" t="e">
        <f t="shared" si="155"/>
        <v>#REF!</v>
      </c>
      <c r="P513" s="12" t="e">
        <f t="shared" si="156"/>
        <v>#REF!</v>
      </c>
    </row>
    <row r="514" spans="1:16" ht="31.5" hidden="1" x14ac:dyDescent="0.25">
      <c r="A514" s="49" t="s">
        <v>1826</v>
      </c>
      <c r="B514" s="49">
        <v>40</v>
      </c>
      <c r="C514" s="54" t="s">
        <v>1744</v>
      </c>
      <c r="D514" s="55" t="s">
        <v>754</v>
      </c>
      <c r="E514" s="52" t="s">
        <v>755</v>
      </c>
      <c r="F514" s="53"/>
      <c r="G514" s="53">
        <v>9.1150000000000002</v>
      </c>
      <c r="H514" s="53">
        <v>2.5000000000000001E-2</v>
      </c>
      <c r="I514" s="12">
        <f t="shared" si="152"/>
        <v>9.14</v>
      </c>
      <c r="J514" s="52">
        <f>11318.962+240.06</f>
        <v>11559.021999999999</v>
      </c>
      <c r="K514" s="52"/>
      <c r="L514" s="52">
        <f t="shared" si="153"/>
        <v>11559.021999999999</v>
      </c>
      <c r="M514" s="52">
        <f t="shared" si="139"/>
        <v>1264.6632385120349</v>
      </c>
      <c r="N514" s="12" t="e">
        <f t="shared" si="154"/>
        <v>#REF!</v>
      </c>
      <c r="O514" s="12" t="e">
        <f t="shared" si="155"/>
        <v>#REF!</v>
      </c>
      <c r="P514" s="12" t="e">
        <f t="shared" si="156"/>
        <v>#REF!</v>
      </c>
    </row>
    <row r="515" spans="1:16" ht="18.75" hidden="1" x14ac:dyDescent="0.3">
      <c r="A515" s="49" t="s">
        <v>1826</v>
      </c>
      <c r="B515" s="49">
        <v>41</v>
      </c>
      <c r="C515" s="12" t="s">
        <v>1744</v>
      </c>
      <c r="D515" s="61" t="s">
        <v>1071</v>
      </c>
      <c r="E515" s="63" t="s">
        <v>1072</v>
      </c>
      <c r="F515" s="53"/>
      <c r="G515" s="53">
        <v>6.5010000000000003</v>
      </c>
      <c r="H515" s="53">
        <v>4.0000000000000001E-3</v>
      </c>
      <c r="I515" s="12">
        <f t="shared" si="152"/>
        <v>6.5049999999999999</v>
      </c>
      <c r="J515" s="52">
        <v>2538.239</v>
      </c>
      <c r="K515" s="52"/>
      <c r="L515" s="52">
        <f>J515+K515</f>
        <v>2538.239</v>
      </c>
      <c r="M515" s="52">
        <f>L515/I515</f>
        <v>390.19815526518062</v>
      </c>
      <c r="N515" s="12" t="e">
        <f t="shared" si="154"/>
        <v>#REF!</v>
      </c>
      <c r="O515" s="12" t="e">
        <f t="shared" si="155"/>
        <v>#REF!</v>
      </c>
      <c r="P515" s="12" t="e">
        <f t="shared" si="156"/>
        <v>#REF!</v>
      </c>
    </row>
    <row r="516" spans="1:16" ht="18.75" hidden="1" x14ac:dyDescent="0.3">
      <c r="A516" s="49" t="s">
        <v>1826</v>
      </c>
      <c r="B516" s="49">
        <v>42</v>
      </c>
      <c r="C516" s="12" t="s">
        <v>1744</v>
      </c>
      <c r="D516" s="61" t="s">
        <v>1073</v>
      </c>
      <c r="E516" s="63" t="s">
        <v>1074</v>
      </c>
      <c r="F516" s="53"/>
      <c r="G516" s="53">
        <v>17.097999999999999</v>
      </c>
      <c r="H516" s="53">
        <v>1.6E-2</v>
      </c>
      <c r="I516" s="12">
        <f t="shared" si="152"/>
        <v>17.113999999999997</v>
      </c>
      <c r="J516" s="52">
        <v>8964.9089999999997</v>
      </c>
      <c r="K516" s="52"/>
      <c r="L516" s="52">
        <f>J516+K516</f>
        <v>8964.9089999999997</v>
      </c>
      <c r="M516" s="52">
        <f>L516/I516</f>
        <v>523.83481360289829</v>
      </c>
      <c r="N516" s="12" t="e">
        <f t="shared" si="154"/>
        <v>#REF!</v>
      </c>
      <c r="O516" s="12" t="e">
        <f t="shared" si="155"/>
        <v>#REF!</v>
      </c>
      <c r="P516" s="12" t="e">
        <f t="shared" si="156"/>
        <v>#REF!</v>
      </c>
    </row>
    <row r="517" spans="1:16" ht="18.75" hidden="1" x14ac:dyDescent="0.3">
      <c r="A517" s="49" t="s">
        <v>1826</v>
      </c>
      <c r="B517" s="49">
        <v>43</v>
      </c>
      <c r="C517" s="12" t="s">
        <v>1744</v>
      </c>
      <c r="D517" s="61" t="s">
        <v>1075</v>
      </c>
      <c r="E517" s="63" t="s">
        <v>1076</v>
      </c>
      <c r="F517" s="53"/>
      <c r="G517" s="53">
        <v>3.1459999999999999</v>
      </c>
      <c r="H517" s="53">
        <v>5.0000000000000001E-3</v>
      </c>
      <c r="I517" s="12">
        <f t="shared" si="152"/>
        <v>3.1509999999999998</v>
      </c>
      <c r="J517" s="52">
        <v>914.13800000000003</v>
      </c>
      <c r="K517" s="52"/>
      <c r="L517" s="52">
        <f>J517+K517</f>
        <v>914.13800000000003</v>
      </c>
      <c r="M517" s="52">
        <f>L517/I517</f>
        <v>290.11044112980011</v>
      </c>
      <c r="N517" s="12" t="e">
        <f t="shared" si="154"/>
        <v>#REF!</v>
      </c>
      <c r="O517" s="12" t="e">
        <f t="shared" si="155"/>
        <v>#REF!</v>
      </c>
      <c r="P517" s="12" t="e">
        <f t="shared" si="156"/>
        <v>#REF!</v>
      </c>
    </row>
    <row r="518" spans="1:16" s="75" customFormat="1" ht="15.75" hidden="1" x14ac:dyDescent="0.25">
      <c r="A518" s="72">
        <v>10</v>
      </c>
      <c r="B518" s="72" t="s">
        <v>1126</v>
      </c>
      <c r="C518" s="73" t="s">
        <v>1161</v>
      </c>
      <c r="D518" s="74"/>
      <c r="E518" s="71" t="s">
        <v>1374</v>
      </c>
      <c r="F518" s="76"/>
      <c r="G518" s="71">
        <f t="shared" ref="G518:L518" si="157">G519+G520+G533+G559</f>
        <v>1734.4709999999998</v>
      </c>
      <c r="H518" s="71">
        <f t="shared" si="157"/>
        <v>57.994000000000007</v>
      </c>
      <c r="I518" s="71">
        <f t="shared" si="157"/>
        <v>1792.4649999999997</v>
      </c>
      <c r="J518" s="71">
        <f t="shared" si="157"/>
        <v>3608133.1322000003</v>
      </c>
      <c r="K518" s="71">
        <f t="shared" si="157"/>
        <v>0</v>
      </c>
      <c r="L518" s="71">
        <f t="shared" si="157"/>
        <v>3608133.1322000003</v>
      </c>
      <c r="M518" s="71">
        <f>L518/I518</f>
        <v>2012.9448174441347</v>
      </c>
      <c r="N518" s="71" t="e">
        <f>M518/$M$1429</f>
        <v>#REF!</v>
      </c>
      <c r="O518" s="71" t="e">
        <f>O519+O520+O533+O559</f>
        <v>#REF!</v>
      </c>
      <c r="P518" s="71" t="e">
        <f>P519+P520+P533+P559</f>
        <v>#REF!</v>
      </c>
    </row>
    <row r="519" spans="1:16" ht="15.75" hidden="1" x14ac:dyDescent="0.25">
      <c r="A519" s="14">
        <v>10</v>
      </c>
      <c r="B519" s="14" t="s">
        <v>1126</v>
      </c>
      <c r="C519" s="8" t="s">
        <v>1159</v>
      </c>
      <c r="D519" s="28" t="s">
        <v>2101</v>
      </c>
      <c r="E519" s="12" t="s">
        <v>1160</v>
      </c>
      <c r="F519" s="1"/>
      <c r="G519" s="1">
        <v>0</v>
      </c>
      <c r="H519" s="1">
        <v>0</v>
      </c>
      <c r="I519" s="12">
        <f>H519+G519</f>
        <v>0</v>
      </c>
      <c r="J519" s="12"/>
      <c r="K519" s="12"/>
      <c r="L519" s="12"/>
      <c r="M519" s="12"/>
      <c r="N519" s="12"/>
      <c r="O519" s="12"/>
      <c r="P519" s="12"/>
    </row>
    <row r="520" spans="1:16" ht="15.75" hidden="1" x14ac:dyDescent="0.25">
      <c r="A520" s="15">
        <v>10</v>
      </c>
      <c r="B520" s="15" t="s">
        <v>1126</v>
      </c>
      <c r="C520" s="10" t="s">
        <v>1127</v>
      </c>
      <c r="D520" s="29"/>
      <c r="E520" s="37" t="s">
        <v>1128</v>
      </c>
      <c r="F520" s="6"/>
      <c r="G520" s="37">
        <f t="shared" ref="G520:L520" si="158">SUM(G521:G532)</f>
        <v>682.36399999999992</v>
      </c>
      <c r="H520" s="37">
        <f>SUM(H521:H532)</f>
        <v>28.226000000000003</v>
      </c>
      <c r="I520" s="37">
        <f t="shared" si="158"/>
        <v>710.59000000000015</v>
      </c>
      <c r="J520" s="37">
        <f t="shared" si="158"/>
        <v>1356473.1962000001</v>
      </c>
      <c r="K520" s="37">
        <f t="shared" si="158"/>
        <v>-47554.799999999996</v>
      </c>
      <c r="L520" s="37">
        <f t="shared" si="158"/>
        <v>1308918.3961999998</v>
      </c>
      <c r="M520" s="37">
        <f t="shared" ref="M520:M565" si="159">L520/I520</f>
        <v>1842.0163472607264</v>
      </c>
      <c r="N520" s="37" t="e">
        <f>M520/$M$1429</f>
        <v>#REF!</v>
      </c>
      <c r="O520" s="37" t="e">
        <f>SUM(O521:O532)</f>
        <v>#REF!</v>
      </c>
      <c r="P520" s="37" t="e">
        <f>SUM(P521:P532)</f>
        <v>#REF!</v>
      </c>
    </row>
    <row r="521" spans="1:16" ht="15.75" hidden="1" x14ac:dyDescent="0.25">
      <c r="A521" s="14">
        <v>10</v>
      </c>
      <c r="B521" s="14" t="s">
        <v>1811</v>
      </c>
      <c r="C521" s="8" t="s">
        <v>1119</v>
      </c>
      <c r="D521" s="28" t="s">
        <v>2102</v>
      </c>
      <c r="E521" s="12" t="s">
        <v>1337</v>
      </c>
      <c r="F521" s="1"/>
      <c r="G521" s="1">
        <v>16.452000000000002</v>
      </c>
      <c r="H521" s="1">
        <v>0.29899999999999999</v>
      </c>
      <c r="I521" s="12">
        <f t="shared" ref="I521:I532" si="160">H521+G521</f>
        <v>16.751000000000001</v>
      </c>
      <c r="J521" s="12">
        <v>22604.002</v>
      </c>
      <c r="K521" s="12"/>
      <c r="L521" s="12">
        <f t="shared" ref="L521:L532" si="161">J521+K521</f>
        <v>22604.002</v>
      </c>
      <c r="M521" s="12">
        <f t="shared" si="159"/>
        <v>1349.4120948003103</v>
      </c>
      <c r="N521" s="12" t="e">
        <f t="shared" ref="N521:N532" si="162">M521/$M$1431</f>
        <v>#REF!</v>
      </c>
      <c r="O521" s="12" t="e">
        <f t="shared" ref="O521:O532" si="163">ROUND(IF(N521&lt;110%,0,(M521-$M$1431*1.1)*0.8)*I521,1)</f>
        <v>#REF!</v>
      </c>
      <c r="P521" s="12" t="e">
        <f t="shared" ref="P521:P532" si="164">ROUND(IF(N521&gt;90%,0,(-M521+$M$1431*0.9)*0.8)*I521,1)</f>
        <v>#REF!</v>
      </c>
    </row>
    <row r="522" spans="1:16" ht="15.75" hidden="1" x14ac:dyDescent="0.25">
      <c r="A522" s="14">
        <v>10</v>
      </c>
      <c r="B522" s="14" t="s">
        <v>1810</v>
      </c>
      <c r="C522" s="8" t="s">
        <v>1119</v>
      </c>
      <c r="D522" s="28" t="s">
        <v>2103</v>
      </c>
      <c r="E522" s="12" t="s">
        <v>1338</v>
      </c>
      <c r="F522" s="1"/>
      <c r="G522" s="1">
        <v>207.745</v>
      </c>
      <c r="H522" s="1">
        <v>3.7930000000000001</v>
      </c>
      <c r="I522" s="12">
        <f t="shared" si="160"/>
        <v>211.53800000000001</v>
      </c>
      <c r="J522" s="12">
        <v>286910.69300000003</v>
      </c>
      <c r="K522" s="12"/>
      <c r="L522" s="12">
        <f t="shared" si="161"/>
        <v>286910.69300000003</v>
      </c>
      <c r="M522" s="12">
        <f t="shared" si="159"/>
        <v>1356.3080533993893</v>
      </c>
      <c r="N522" s="12" t="e">
        <f t="shared" si="162"/>
        <v>#REF!</v>
      </c>
      <c r="O522" s="12" t="e">
        <f t="shared" si="163"/>
        <v>#REF!</v>
      </c>
      <c r="P522" s="12" t="e">
        <f t="shared" si="164"/>
        <v>#REF!</v>
      </c>
    </row>
    <row r="523" spans="1:16" ht="15.75" hidden="1" x14ac:dyDescent="0.25">
      <c r="A523" s="14">
        <v>10</v>
      </c>
      <c r="B523" s="14" t="s">
        <v>1850</v>
      </c>
      <c r="C523" s="8" t="s">
        <v>1119</v>
      </c>
      <c r="D523" s="28" t="s">
        <v>2104</v>
      </c>
      <c r="E523" s="12" t="s">
        <v>1339</v>
      </c>
      <c r="F523" s="1"/>
      <c r="G523" s="1">
        <v>60.619</v>
      </c>
      <c r="H523" s="1">
        <v>3.7050000000000001</v>
      </c>
      <c r="I523" s="12">
        <f t="shared" si="160"/>
        <v>64.323999999999998</v>
      </c>
      <c r="J523" s="12">
        <v>183403.27600000001</v>
      </c>
      <c r="K523" s="12">
        <f>-79258*0.6</f>
        <v>-47554.799999999996</v>
      </c>
      <c r="L523" s="12">
        <f t="shared" si="161"/>
        <v>135848.47600000002</v>
      </c>
      <c r="M523" s="12">
        <f t="shared" si="159"/>
        <v>2111.9407375163241</v>
      </c>
      <c r="N523" s="12" t="e">
        <f t="shared" si="162"/>
        <v>#REF!</v>
      </c>
      <c r="O523" s="12" t="e">
        <f t="shared" si="163"/>
        <v>#REF!</v>
      </c>
      <c r="P523" s="12" t="e">
        <f t="shared" si="164"/>
        <v>#REF!</v>
      </c>
    </row>
    <row r="524" spans="1:16" ht="15.75" hidden="1" x14ac:dyDescent="0.25">
      <c r="A524" s="14">
        <v>10</v>
      </c>
      <c r="B524" s="14" t="s">
        <v>1855</v>
      </c>
      <c r="C524" s="8" t="s">
        <v>1119</v>
      </c>
      <c r="D524" s="28" t="s">
        <v>2105</v>
      </c>
      <c r="E524" s="12" t="s">
        <v>1340</v>
      </c>
      <c r="F524" s="1"/>
      <c r="G524" s="1">
        <v>100.866</v>
      </c>
      <c r="H524" s="1">
        <v>6.5140000000000002</v>
      </c>
      <c r="I524" s="12">
        <f t="shared" si="160"/>
        <v>107.38</v>
      </c>
      <c r="J524" s="12">
        <v>212115.02</v>
      </c>
      <c r="K524" s="12"/>
      <c r="L524" s="12">
        <f t="shared" si="161"/>
        <v>212115.02</v>
      </c>
      <c r="M524" s="12">
        <f t="shared" si="159"/>
        <v>1975.3680387409202</v>
      </c>
      <c r="N524" s="12" t="e">
        <f t="shared" si="162"/>
        <v>#REF!</v>
      </c>
      <c r="O524" s="12" t="e">
        <f t="shared" si="163"/>
        <v>#REF!</v>
      </c>
      <c r="P524" s="12" t="e">
        <f t="shared" si="164"/>
        <v>#REF!</v>
      </c>
    </row>
    <row r="525" spans="1:16" ht="15.75" hidden="1" x14ac:dyDescent="0.25">
      <c r="A525" s="14">
        <v>10</v>
      </c>
      <c r="B525" s="14" t="s">
        <v>1820</v>
      </c>
      <c r="C525" s="8" t="s">
        <v>1119</v>
      </c>
      <c r="D525" s="28" t="s">
        <v>2106</v>
      </c>
      <c r="E525" s="12" t="s">
        <v>1342</v>
      </c>
      <c r="F525" s="1"/>
      <c r="G525" s="1">
        <v>37.332000000000001</v>
      </c>
      <c r="H525" s="1">
        <v>1.0189999999999999</v>
      </c>
      <c r="I525" s="12">
        <f t="shared" si="160"/>
        <v>38.350999999999999</v>
      </c>
      <c r="J525" s="12">
        <v>70918.932000000001</v>
      </c>
      <c r="K525" s="12"/>
      <c r="L525" s="12">
        <f t="shared" si="161"/>
        <v>70918.932000000001</v>
      </c>
      <c r="M525" s="12">
        <f t="shared" si="159"/>
        <v>1849.206852494068</v>
      </c>
      <c r="N525" s="12" t="e">
        <f t="shared" si="162"/>
        <v>#REF!</v>
      </c>
      <c r="O525" s="12" t="e">
        <f t="shared" si="163"/>
        <v>#REF!</v>
      </c>
      <c r="P525" s="12" t="e">
        <f t="shared" si="164"/>
        <v>#REF!</v>
      </c>
    </row>
    <row r="526" spans="1:16" ht="15.75" hidden="1" x14ac:dyDescent="0.25">
      <c r="A526" s="14">
        <v>10</v>
      </c>
      <c r="B526" s="14" t="s">
        <v>1822</v>
      </c>
      <c r="C526" s="8" t="s">
        <v>1119</v>
      </c>
      <c r="D526" s="28" t="s">
        <v>2107</v>
      </c>
      <c r="E526" s="12" t="s">
        <v>1343</v>
      </c>
      <c r="F526" s="1"/>
      <c r="G526" s="1">
        <v>86.757000000000005</v>
      </c>
      <c r="H526" s="1">
        <v>5.976</v>
      </c>
      <c r="I526" s="12">
        <f t="shared" si="160"/>
        <v>92.733000000000004</v>
      </c>
      <c r="J526" s="12">
        <v>178610.49400000001</v>
      </c>
      <c r="K526" s="12"/>
      <c r="L526" s="12">
        <f t="shared" si="161"/>
        <v>178610.49400000001</v>
      </c>
      <c r="M526" s="12">
        <f t="shared" si="159"/>
        <v>1926.0726386507499</v>
      </c>
      <c r="N526" s="12" t="e">
        <f t="shared" si="162"/>
        <v>#REF!</v>
      </c>
      <c r="O526" s="12" t="e">
        <f t="shared" si="163"/>
        <v>#REF!</v>
      </c>
      <c r="P526" s="12" t="e">
        <f t="shared" si="164"/>
        <v>#REF!</v>
      </c>
    </row>
    <row r="527" spans="1:16" ht="15.75" hidden="1" x14ac:dyDescent="0.25">
      <c r="A527" s="14">
        <v>10</v>
      </c>
      <c r="B527" s="14" t="s">
        <v>1824</v>
      </c>
      <c r="C527" s="8" t="s">
        <v>1119</v>
      </c>
      <c r="D527" s="28" t="s">
        <v>2108</v>
      </c>
      <c r="E527" s="12" t="s">
        <v>1344</v>
      </c>
      <c r="F527" s="1"/>
      <c r="G527" s="1">
        <v>27.547999999999998</v>
      </c>
      <c r="H527" s="1">
        <v>0.71199999999999997</v>
      </c>
      <c r="I527" s="12">
        <f t="shared" si="160"/>
        <v>28.259999999999998</v>
      </c>
      <c r="J527" s="12">
        <f>42985.674</f>
        <v>42985.673999999999</v>
      </c>
      <c r="K527" s="12"/>
      <c r="L527" s="12">
        <f t="shared" si="161"/>
        <v>42985.673999999999</v>
      </c>
      <c r="M527" s="12">
        <f t="shared" si="159"/>
        <v>1521.0783439490447</v>
      </c>
      <c r="N527" s="12" t="e">
        <f t="shared" si="162"/>
        <v>#REF!</v>
      </c>
      <c r="O527" s="12" t="e">
        <f t="shared" si="163"/>
        <v>#REF!</v>
      </c>
      <c r="P527" s="12" t="e">
        <f t="shared" si="164"/>
        <v>#REF!</v>
      </c>
    </row>
    <row r="528" spans="1:16" ht="15.75" hidden="1" x14ac:dyDescent="0.25">
      <c r="A528" s="14">
        <v>10</v>
      </c>
      <c r="B528" s="14" t="s">
        <v>1826</v>
      </c>
      <c r="C528" s="8" t="s">
        <v>1119</v>
      </c>
      <c r="D528" s="28" t="s">
        <v>2109</v>
      </c>
      <c r="E528" s="12" t="s">
        <v>1345</v>
      </c>
      <c r="F528" s="1"/>
      <c r="G528" s="1">
        <v>7.4470000000000001</v>
      </c>
      <c r="H528" s="1">
        <v>0.16600000000000001</v>
      </c>
      <c r="I528" s="12">
        <f t="shared" si="160"/>
        <v>7.6130000000000004</v>
      </c>
      <c r="J528" s="12">
        <v>7851.5280000000002</v>
      </c>
      <c r="K528" s="12"/>
      <c r="L528" s="12">
        <f t="shared" si="161"/>
        <v>7851.5280000000002</v>
      </c>
      <c r="M528" s="12">
        <f t="shared" si="159"/>
        <v>1031.3316695126757</v>
      </c>
      <c r="N528" s="12" t="e">
        <f t="shared" si="162"/>
        <v>#REF!</v>
      </c>
      <c r="O528" s="12" t="e">
        <f t="shared" si="163"/>
        <v>#REF!</v>
      </c>
      <c r="P528" s="12" t="e">
        <f t="shared" si="164"/>
        <v>#REF!</v>
      </c>
    </row>
    <row r="529" spans="1:16" ht="15.75" hidden="1" x14ac:dyDescent="0.25">
      <c r="A529" s="14">
        <v>10</v>
      </c>
      <c r="B529" s="14">
        <v>10</v>
      </c>
      <c r="C529" s="8" t="s">
        <v>1119</v>
      </c>
      <c r="D529" s="28" t="s">
        <v>2110</v>
      </c>
      <c r="E529" s="12" t="s">
        <v>1346</v>
      </c>
      <c r="F529" s="1"/>
      <c r="G529" s="1">
        <v>25.096</v>
      </c>
      <c r="H529" s="1">
        <v>0.32200000000000001</v>
      </c>
      <c r="I529" s="12">
        <f t="shared" si="160"/>
        <v>25.417999999999999</v>
      </c>
      <c r="J529" s="12">
        <v>121987.913</v>
      </c>
      <c r="K529" s="12"/>
      <c r="L529" s="12">
        <f t="shared" si="161"/>
        <v>121987.913</v>
      </c>
      <c r="M529" s="12">
        <f t="shared" si="159"/>
        <v>4799.2726807774015</v>
      </c>
      <c r="N529" s="12" t="e">
        <f t="shared" si="162"/>
        <v>#REF!</v>
      </c>
      <c r="O529" s="12" t="e">
        <f t="shared" si="163"/>
        <v>#REF!</v>
      </c>
      <c r="P529" s="12" t="e">
        <f t="shared" si="164"/>
        <v>#REF!</v>
      </c>
    </row>
    <row r="530" spans="1:16" ht="15.75" hidden="1" x14ac:dyDescent="0.25">
      <c r="A530" s="14">
        <v>10</v>
      </c>
      <c r="B530" s="14">
        <v>11</v>
      </c>
      <c r="C530" s="8" t="s">
        <v>1119</v>
      </c>
      <c r="D530" s="28" t="s">
        <v>2111</v>
      </c>
      <c r="E530" s="12" t="s">
        <v>1347</v>
      </c>
      <c r="F530" s="1"/>
      <c r="G530" s="1">
        <v>46.878999999999998</v>
      </c>
      <c r="H530" s="1">
        <v>0.76800000000000002</v>
      </c>
      <c r="I530" s="12">
        <f t="shared" si="160"/>
        <v>47.646999999999998</v>
      </c>
      <c r="J530" s="12">
        <v>81705.595000000001</v>
      </c>
      <c r="K530" s="12"/>
      <c r="L530" s="12">
        <f t="shared" si="161"/>
        <v>81705.595000000001</v>
      </c>
      <c r="M530" s="12">
        <f t="shared" si="159"/>
        <v>1714.8109010011124</v>
      </c>
      <c r="N530" s="12" t="e">
        <f t="shared" si="162"/>
        <v>#REF!</v>
      </c>
      <c r="O530" s="12" t="e">
        <f t="shared" si="163"/>
        <v>#REF!</v>
      </c>
      <c r="P530" s="12" t="e">
        <f t="shared" si="164"/>
        <v>#REF!</v>
      </c>
    </row>
    <row r="531" spans="1:16" ht="15.75" hidden="1" x14ac:dyDescent="0.25">
      <c r="A531" s="14">
        <v>10</v>
      </c>
      <c r="B531" s="14" t="s">
        <v>1818</v>
      </c>
      <c r="C531" s="8" t="s">
        <v>1119</v>
      </c>
      <c r="D531" s="28" t="s">
        <v>2112</v>
      </c>
      <c r="E531" s="12" t="s">
        <v>1341</v>
      </c>
      <c r="F531" s="1"/>
      <c r="G531" s="1">
        <v>31.959</v>
      </c>
      <c r="H531" s="1">
        <v>3.2909999999999999</v>
      </c>
      <c r="I531" s="12">
        <f t="shared" si="160"/>
        <v>35.25</v>
      </c>
      <c r="J531" s="12">
        <v>41084.9902</v>
      </c>
      <c r="K531" s="12"/>
      <c r="L531" s="12">
        <f t="shared" si="161"/>
        <v>41084.9902</v>
      </c>
      <c r="M531" s="12">
        <f t="shared" si="159"/>
        <v>1165.5316368794327</v>
      </c>
      <c r="N531" s="12" t="e">
        <f t="shared" si="162"/>
        <v>#REF!</v>
      </c>
      <c r="O531" s="12" t="e">
        <f t="shared" si="163"/>
        <v>#REF!</v>
      </c>
      <c r="P531" s="12" t="e">
        <f t="shared" si="164"/>
        <v>#REF!</v>
      </c>
    </row>
    <row r="532" spans="1:16" ht="15.75" hidden="1" x14ac:dyDescent="0.25">
      <c r="A532" s="14">
        <v>10</v>
      </c>
      <c r="B532" s="14">
        <v>12</v>
      </c>
      <c r="C532" s="8" t="s">
        <v>1119</v>
      </c>
      <c r="D532" s="28" t="s">
        <v>2113</v>
      </c>
      <c r="E532" s="12" t="s">
        <v>1348</v>
      </c>
      <c r="F532" s="1"/>
      <c r="G532" s="1">
        <v>33.664000000000001</v>
      </c>
      <c r="H532" s="1">
        <v>1.661</v>
      </c>
      <c r="I532" s="12">
        <f t="shared" si="160"/>
        <v>35.325000000000003</v>
      </c>
      <c r="J532" s="12">
        <v>106295.079</v>
      </c>
      <c r="K532" s="12"/>
      <c r="L532" s="12">
        <f t="shared" si="161"/>
        <v>106295.079</v>
      </c>
      <c r="M532" s="12">
        <f t="shared" si="159"/>
        <v>3009.0609766454349</v>
      </c>
      <c r="N532" s="12" t="e">
        <f t="shared" si="162"/>
        <v>#REF!</v>
      </c>
      <c r="O532" s="12" t="e">
        <f t="shared" si="163"/>
        <v>#REF!</v>
      </c>
      <c r="P532" s="12" t="e">
        <f t="shared" si="164"/>
        <v>#REF!</v>
      </c>
    </row>
    <row r="533" spans="1:16" ht="15.75" hidden="1" x14ac:dyDescent="0.25">
      <c r="A533" s="15">
        <v>10</v>
      </c>
      <c r="B533" s="15" t="s">
        <v>1126</v>
      </c>
      <c r="C533" s="10" t="s">
        <v>1157</v>
      </c>
      <c r="D533" s="29"/>
      <c r="E533" s="37" t="s">
        <v>1158</v>
      </c>
      <c r="F533" s="6"/>
      <c r="G533" s="37">
        <f t="shared" ref="G533:L533" si="165">SUM(G534:G558)</f>
        <v>955.20900000000006</v>
      </c>
      <c r="H533" s="37">
        <f t="shared" si="165"/>
        <v>28.902999999999999</v>
      </c>
      <c r="I533" s="37">
        <f t="shared" si="165"/>
        <v>984.11199999999974</v>
      </c>
      <c r="J533" s="37">
        <f t="shared" si="165"/>
        <v>2097696.6510000001</v>
      </c>
      <c r="K533" s="37">
        <f t="shared" si="165"/>
        <v>47554.799999999996</v>
      </c>
      <c r="L533" s="37">
        <f t="shared" si="165"/>
        <v>2145251.4510000004</v>
      </c>
      <c r="M533" s="37">
        <f t="shared" si="159"/>
        <v>2179.8854713691135</v>
      </c>
      <c r="N533" s="37" t="e">
        <f>M533/$M$1429</f>
        <v>#REF!</v>
      </c>
      <c r="O533" s="37" t="e">
        <f>SUM(O534:O558)</f>
        <v>#REF!</v>
      </c>
      <c r="P533" s="37" t="e">
        <f>SUM(P534:P558)</f>
        <v>#REF!</v>
      </c>
    </row>
    <row r="534" spans="1:16" ht="15.75" hidden="1" x14ac:dyDescent="0.25">
      <c r="A534" s="14">
        <v>10</v>
      </c>
      <c r="B534" s="14">
        <v>13</v>
      </c>
      <c r="C534" s="8" t="s">
        <v>1129</v>
      </c>
      <c r="D534" s="28" t="s">
        <v>2114</v>
      </c>
      <c r="E534" s="12" t="s">
        <v>1349</v>
      </c>
      <c r="F534" s="1"/>
      <c r="G534" s="1">
        <v>35.61</v>
      </c>
      <c r="H534" s="1">
        <v>0.64</v>
      </c>
      <c r="I534" s="12">
        <f t="shared" ref="I534:I558" si="166">H534+G534</f>
        <v>36.25</v>
      </c>
      <c r="J534" s="12">
        <v>44491.49</v>
      </c>
      <c r="K534" s="12"/>
      <c r="L534" s="12">
        <f t="shared" ref="L534:L558" si="167">J534+K534</f>
        <v>44491.49</v>
      </c>
      <c r="M534" s="12">
        <f t="shared" si="159"/>
        <v>1227.3514482758619</v>
      </c>
      <c r="N534" s="12" t="e">
        <f t="shared" ref="N534:N558" si="168">M534/$M$1432</f>
        <v>#REF!</v>
      </c>
      <c r="O534" s="12" t="e">
        <f t="shared" ref="O534:O558" si="169">ROUND(IF(N534&lt;110%,0,(M534-$M$1432*1.1)*0.8)*I534,1)</f>
        <v>#REF!</v>
      </c>
      <c r="P534" s="12" t="e">
        <f t="shared" ref="P534:P558" si="170">ROUND(IF(N534&gt;90%,0,(-M534+$M$1432*0.9)*0.8)*I534,1)</f>
        <v>#REF!</v>
      </c>
    </row>
    <row r="535" spans="1:16" ht="15.75" hidden="1" x14ac:dyDescent="0.25">
      <c r="A535" s="14">
        <v>10</v>
      </c>
      <c r="B535" s="14">
        <v>14</v>
      </c>
      <c r="C535" s="8" t="s">
        <v>1129</v>
      </c>
      <c r="D535" s="28" t="s">
        <v>2115</v>
      </c>
      <c r="E535" s="12" t="s">
        <v>1350</v>
      </c>
      <c r="F535" s="1"/>
      <c r="G535" s="1">
        <v>25.364000000000001</v>
      </c>
      <c r="H535" s="1">
        <v>0.13800000000000001</v>
      </c>
      <c r="I535" s="12">
        <f t="shared" si="166"/>
        <v>25.502000000000002</v>
      </c>
      <c r="J535" s="12">
        <f>88398.727-6761.097-18231.1</f>
        <v>63406.530000000006</v>
      </c>
      <c r="K535" s="12"/>
      <c r="L535" s="12">
        <f t="shared" si="167"/>
        <v>63406.530000000006</v>
      </c>
      <c r="M535" s="12">
        <f t="shared" si="159"/>
        <v>2486.3355815230179</v>
      </c>
      <c r="N535" s="12" t="e">
        <f t="shared" si="168"/>
        <v>#REF!</v>
      </c>
      <c r="O535" s="12" t="e">
        <f t="shared" si="169"/>
        <v>#REF!</v>
      </c>
      <c r="P535" s="12" t="e">
        <f t="shared" si="170"/>
        <v>#REF!</v>
      </c>
    </row>
    <row r="536" spans="1:16" ht="15.75" hidden="1" x14ac:dyDescent="0.25">
      <c r="A536" s="14">
        <v>10</v>
      </c>
      <c r="B536" s="14">
        <v>15</v>
      </c>
      <c r="C536" s="8" t="s">
        <v>1129</v>
      </c>
      <c r="D536" s="28" t="s">
        <v>2116</v>
      </c>
      <c r="E536" s="12" t="s">
        <v>1351</v>
      </c>
      <c r="F536" s="1"/>
      <c r="G536" s="1">
        <v>30.466000000000001</v>
      </c>
      <c r="H536" s="1">
        <v>0.313</v>
      </c>
      <c r="I536" s="12">
        <f t="shared" si="166"/>
        <v>30.779</v>
      </c>
      <c r="J536" s="12">
        <f>37394.04-7170.439</f>
        <v>30223.601000000002</v>
      </c>
      <c r="K536" s="12"/>
      <c r="L536" s="12">
        <f t="shared" si="167"/>
        <v>30223.601000000002</v>
      </c>
      <c r="M536" s="12">
        <f t="shared" si="159"/>
        <v>981.95526170440894</v>
      </c>
      <c r="N536" s="12" t="e">
        <f t="shared" si="168"/>
        <v>#REF!</v>
      </c>
      <c r="O536" s="12" t="e">
        <f t="shared" si="169"/>
        <v>#REF!</v>
      </c>
      <c r="P536" s="12" t="e">
        <f t="shared" si="170"/>
        <v>#REF!</v>
      </c>
    </row>
    <row r="537" spans="1:16" ht="15.75" hidden="1" x14ac:dyDescent="0.25">
      <c r="A537" s="14">
        <v>10</v>
      </c>
      <c r="B537" s="14">
        <v>16</v>
      </c>
      <c r="C537" s="8" t="s">
        <v>1129</v>
      </c>
      <c r="D537" s="28" t="s">
        <v>2117</v>
      </c>
      <c r="E537" s="12" t="s">
        <v>1352</v>
      </c>
      <c r="F537" s="1"/>
      <c r="G537" s="1">
        <v>52.44</v>
      </c>
      <c r="H537" s="1">
        <v>2.3370000000000002</v>
      </c>
      <c r="I537" s="12">
        <f t="shared" si="166"/>
        <v>54.777000000000001</v>
      </c>
      <c r="J537" s="12">
        <v>198764.136</v>
      </c>
      <c r="K537" s="12">
        <f>79258*0.6</f>
        <v>47554.799999999996</v>
      </c>
      <c r="L537" s="12">
        <f t="shared" si="167"/>
        <v>246318.93599999999</v>
      </c>
      <c r="M537" s="12">
        <f t="shared" si="159"/>
        <v>4496.7584205049561</v>
      </c>
      <c r="N537" s="12" t="e">
        <f t="shared" si="168"/>
        <v>#REF!</v>
      </c>
      <c r="O537" s="12" t="e">
        <f t="shared" si="169"/>
        <v>#REF!</v>
      </c>
      <c r="P537" s="12" t="e">
        <f t="shared" si="170"/>
        <v>#REF!</v>
      </c>
    </row>
    <row r="538" spans="1:16" ht="15.75" hidden="1" x14ac:dyDescent="0.25">
      <c r="A538" s="14">
        <v>10</v>
      </c>
      <c r="B538" s="14">
        <v>17</v>
      </c>
      <c r="C538" s="8" t="s">
        <v>1129</v>
      </c>
      <c r="D538" s="28" t="s">
        <v>2118</v>
      </c>
      <c r="E538" s="12" t="s">
        <v>1353</v>
      </c>
      <c r="F538" s="1"/>
      <c r="G538" s="1">
        <v>49.347999999999999</v>
      </c>
      <c r="H538" s="1">
        <v>1.028</v>
      </c>
      <c r="I538" s="12">
        <f t="shared" si="166"/>
        <v>50.375999999999998</v>
      </c>
      <c r="J538" s="12">
        <f>50067.183-10761.299</f>
        <v>39305.883999999998</v>
      </c>
      <c r="K538" s="12"/>
      <c r="L538" s="12">
        <f t="shared" si="167"/>
        <v>39305.883999999998</v>
      </c>
      <c r="M538" s="12">
        <f t="shared" si="159"/>
        <v>780.25019850722572</v>
      </c>
      <c r="N538" s="12" t="e">
        <f t="shared" si="168"/>
        <v>#REF!</v>
      </c>
      <c r="O538" s="12" t="e">
        <f t="shared" si="169"/>
        <v>#REF!</v>
      </c>
      <c r="P538" s="12" t="e">
        <f t="shared" si="170"/>
        <v>#REF!</v>
      </c>
    </row>
    <row r="539" spans="1:16" ht="15.75" hidden="1" x14ac:dyDescent="0.25">
      <c r="A539" s="14">
        <v>10</v>
      </c>
      <c r="B539" s="14">
        <v>18</v>
      </c>
      <c r="C539" s="8" t="s">
        <v>1129</v>
      </c>
      <c r="D539" s="28" t="s">
        <v>2119</v>
      </c>
      <c r="E539" s="12" t="s">
        <v>1354</v>
      </c>
      <c r="F539" s="1"/>
      <c r="G539" s="1">
        <v>38.826000000000001</v>
      </c>
      <c r="H539" s="1">
        <v>0.91700000000000004</v>
      </c>
      <c r="I539" s="12">
        <f t="shared" si="166"/>
        <v>39.743000000000002</v>
      </c>
      <c r="J539" s="12">
        <f>123652.942-42567.97</f>
        <v>81084.971999999994</v>
      </c>
      <c r="K539" s="12"/>
      <c r="L539" s="12">
        <f t="shared" si="167"/>
        <v>81084.971999999994</v>
      </c>
      <c r="M539" s="12">
        <f t="shared" si="159"/>
        <v>2040.2327957124523</v>
      </c>
      <c r="N539" s="12" t="e">
        <f t="shared" si="168"/>
        <v>#REF!</v>
      </c>
      <c r="O539" s="12" t="e">
        <f t="shared" si="169"/>
        <v>#REF!</v>
      </c>
      <c r="P539" s="12" t="e">
        <f t="shared" si="170"/>
        <v>#REF!</v>
      </c>
    </row>
    <row r="540" spans="1:16" ht="15.75" hidden="1" x14ac:dyDescent="0.25">
      <c r="A540" s="14">
        <v>10</v>
      </c>
      <c r="B540" s="14">
        <v>19</v>
      </c>
      <c r="C540" s="8" t="s">
        <v>1129</v>
      </c>
      <c r="D540" s="28" t="s">
        <v>2120</v>
      </c>
      <c r="E540" s="12" t="s">
        <v>1355</v>
      </c>
      <c r="F540" s="1"/>
      <c r="G540" s="1">
        <v>57.56</v>
      </c>
      <c r="H540" s="1">
        <v>0.69299999999999995</v>
      </c>
      <c r="I540" s="12">
        <f t="shared" si="166"/>
        <v>58.253</v>
      </c>
      <c r="J540" s="12">
        <v>93633.486000000004</v>
      </c>
      <c r="K540" s="12"/>
      <c r="L540" s="12">
        <f t="shared" si="167"/>
        <v>93633.486000000004</v>
      </c>
      <c r="M540" s="12">
        <f t="shared" si="159"/>
        <v>1607.3590373027998</v>
      </c>
      <c r="N540" s="12" t="e">
        <f t="shared" si="168"/>
        <v>#REF!</v>
      </c>
      <c r="O540" s="12" t="e">
        <f t="shared" si="169"/>
        <v>#REF!</v>
      </c>
      <c r="P540" s="12" t="e">
        <f t="shared" si="170"/>
        <v>#REF!</v>
      </c>
    </row>
    <row r="541" spans="1:16" ht="15.75" hidden="1" x14ac:dyDescent="0.25">
      <c r="A541" s="14">
        <v>10</v>
      </c>
      <c r="B541" s="14">
        <v>20</v>
      </c>
      <c r="C541" s="8" t="s">
        <v>1129</v>
      </c>
      <c r="D541" s="28" t="s">
        <v>2121</v>
      </c>
      <c r="E541" s="12" t="s">
        <v>1356</v>
      </c>
      <c r="F541" s="1"/>
      <c r="G541" s="1">
        <v>73.247</v>
      </c>
      <c r="H541" s="1">
        <v>4.5620000000000003</v>
      </c>
      <c r="I541" s="12">
        <f t="shared" si="166"/>
        <v>77.808999999999997</v>
      </c>
      <c r="J541" s="12">
        <v>177383.23</v>
      </c>
      <c r="K541" s="12"/>
      <c r="L541" s="12">
        <f t="shared" si="167"/>
        <v>177383.23</v>
      </c>
      <c r="M541" s="12">
        <f t="shared" si="159"/>
        <v>2279.7263812669489</v>
      </c>
      <c r="N541" s="12" t="e">
        <f t="shared" si="168"/>
        <v>#REF!</v>
      </c>
      <c r="O541" s="12" t="e">
        <f t="shared" si="169"/>
        <v>#REF!</v>
      </c>
      <c r="P541" s="12" t="e">
        <f t="shared" si="170"/>
        <v>#REF!</v>
      </c>
    </row>
    <row r="542" spans="1:16" ht="15.75" hidden="1" x14ac:dyDescent="0.25">
      <c r="A542" s="14">
        <v>10</v>
      </c>
      <c r="B542" s="14">
        <v>21</v>
      </c>
      <c r="C542" s="8" t="s">
        <v>1129</v>
      </c>
      <c r="D542" s="28" t="s">
        <v>2122</v>
      </c>
      <c r="E542" s="12" t="s">
        <v>1357</v>
      </c>
      <c r="F542" s="1"/>
      <c r="G542" s="1">
        <v>17.516999999999999</v>
      </c>
      <c r="H542" s="1">
        <v>0.10299999999999999</v>
      </c>
      <c r="I542" s="12">
        <f t="shared" si="166"/>
        <v>17.62</v>
      </c>
      <c r="J542" s="12">
        <v>27941.626</v>
      </c>
      <c r="K542" s="12"/>
      <c r="L542" s="12">
        <f t="shared" si="167"/>
        <v>27941.626</v>
      </c>
      <c r="M542" s="12">
        <f t="shared" si="159"/>
        <v>1585.7903518728717</v>
      </c>
      <c r="N542" s="12" t="e">
        <f t="shared" si="168"/>
        <v>#REF!</v>
      </c>
      <c r="O542" s="12" t="e">
        <f t="shared" si="169"/>
        <v>#REF!</v>
      </c>
      <c r="P542" s="12" t="e">
        <f t="shared" si="170"/>
        <v>#REF!</v>
      </c>
    </row>
    <row r="543" spans="1:16" ht="15.75" hidden="1" x14ac:dyDescent="0.25">
      <c r="A543" s="14">
        <v>10</v>
      </c>
      <c r="B543" s="14">
        <v>22</v>
      </c>
      <c r="C543" s="8" t="s">
        <v>1129</v>
      </c>
      <c r="D543" s="28" t="s">
        <v>2123</v>
      </c>
      <c r="E543" s="12" t="s">
        <v>1358</v>
      </c>
      <c r="F543" s="1"/>
      <c r="G543" s="1">
        <v>16.314</v>
      </c>
      <c r="H543" s="1">
        <v>0.192</v>
      </c>
      <c r="I543" s="12">
        <f t="shared" si="166"/>
        <v>16.506</v>
      </c>
      <c r="J543" s="12">
        <v>33288.601000000002</v>
      </c>
      <c r="K543" s="12"/>
      <c r="L543" s="12">
        <f t="shared" si="167"/>
        <v>33288.601000000002</v>
      </c>
      <c r="M543" s="12">
        <f t="shared" si="159"/>
        <v>2016.7576032957713</v>
      </c>
      <c r="N543" s="12" t="e">
        <f t="shared" si="168"/>
        <v>#REF!</v>
      </c>
      <c r="O543" s="12" t="e">
        <f t="shared" si="169"/>
        <v>#REF!</v>
      </c>
      <c r="P543" s="12" t="e">
        <f t="shared" si="170"/>
        <v>#REF!</v>
      </c>
    </row>
    <row r="544" spans="1:16" ht="15.75" hidden="1" x14ac:dyDescent="0.25">
      <c r="A544" s="14">
        <v>10</v>
      </c>
      <c r="B544" s="14">
        <v>23</v>
      </c>
      <c r="C544" s="8" t="s">
        <v>1129</v>
      </c>
      <c r="D544" s="28" t="s">
        <v>2124</v>
      </c>
      <c r="E544" s="12" t="s">
        <v>1359</v>
      </c>
      <c r="F544" s="1"/>
      <c r="G544" s="1">
        <v>29.806999999999999</v>
      </c>
      <c r="H544" s="1">
        <v>0.22</v>
      </c>
      <c r="I544" s="12">
        <f t="shared" si="166"/>
        <v>30.026999999999997</v>
      </c>
      <c r="J544" s="12">
        <v>64013.807999999997</v>
      </c>
      <c r="K544" s="12"/>
      <c r="L544" s="12">
        <f t="shared" si="167"/>
        <v>64013.807999999997</v>
      </c>
      <c r="M544" s="12">
        <f t="shared" si="159"/>
        <v>2131.8749125786794</v>
      </c>
      <c r="N544" s="12" t="e">
        <f t="shared" si="168"/>
        <v>#REF!</v>
      </c>
      <c r="O544" s="12" t="e">
        <f t="shared" si="169"/>
        <v>#REF!</v>
      </c>
      <c r="P544" s="12" t="e">
        <f t="shared" si="170"/>
        <v>#REF!</v>
      </c>
    </row>
    <row r="545" spans="1:16" ht="15.75" hidden="1" x14ac:dyDescent="0.25">
      <c r="A545" s="14">
        <v>10</v>
      </c>
      <c r="B545" s="14">
        <v>24</v>
      </c>
      <c r="C545" s="8" t="s">
        <v>1129</v>
      </c>
      <c r="D545" s="28" t="s">
        <v>2125</v>
      </c>
      <c r="E545" s="12" t="s">
        <v>1360</v>
      </c>
      <c r="F545" s="1"/>
      <c r="G545" s="1">
        <v>33.088999999999999</v>
      </c>
      <c r="H545" s="1">
        <v>0.48899999999999999</v>
      </c>
      <c r="I545" s="12">
        <f t="shared" si="166"/>
        <v>33.577999999999996</v>
      </c>
      <c r="J545" s="12">
        <v>43939.695</v>
      </c>
      <c r="K545" s="12"/>
      <c r="L545" s="12">
        <f t="shared" si="167"/>
        <v>43939.695</v>
      </c>
      <c r="M545" s="12">
        <f t="shared" si="159"/>
        <v>1308.5858300077434</v>
      </c>
      <c r="N545" s="12" t="e">
        <f t="shared" si="168"/>
        <v>#REF!</v>
      </c>
      <c r="O545" s="12" t="e">
        <f t="shared" si="169"/>
        <v>#REF!</v>
      </c>
      <c r="P545" s="12" t="e">
        <f t="shared" si="170"/>
        <v>#REF!</v>
      </c>
    </row>
    <row r="546" spans="1:16" ht="15.75" hidden="1" x14ac:dyDescent="0.25">
      <c r="A546" s="14">
        <v>10</v>
      </c>
      <c r="B546" s="14">
        <v>25</v>
      </c>
      <c r="C546" s="8" t="s">
        <v>1129</v>
      </c>
      <c r="D546" s="28" t="s">
        <v>2126</v>
      </c>
      <c r="E546" s="12" t="s">
        <v>1361</v>
      </c>
      <c r="F546" s="1"/>
      <c r="G546" s="1">
        <v>177.626</v>
      </c>
      <c r="H546" s="1">
        <v>11.988</v>
      </c>
      <c r="I546" s="12">
        <f t="shared" si="166"/>
        <v>189.614</v>
      </c>
      <c r="J546" s="12">
        <v>645388.04799999995</v>
      </c>
      <c r="K546" s="12"/>
      <c r="L546" s="12">
        <f t="shared" si="167"/>
        <v>645388.04799999995</v>
      </c>
      <c r="M546" s="12">
        <f t="shared" si="159"/>
        <v>3403.6940732224411</v>
      </c>
      <c r="N546" s="12" t="e">
        <f t="shared" si="168"/>
        <v>#REF!</v>
      </c>
      <c r="O546" s="12" t="e">
        <f t="shared" si="169"/>
        <v>#REF!</v>
      </c>
      <c r="P546" s="12" t="e">
        <f t="shared" si="170"/>
        <v>#REF!</v>
      </c>
    </row>
    <row r="547" spans="1:16" ht="15.75" hidden="1" x14ac:dyDescent="0.25">
      <c r="A547" s="14">
        <v>10</v>
      </c>
      <c r="B547" s="14">
        <v>26</v>
      </c>
      <c r="C547" s="8" t="s">
        <v>1129</v>
      </c>
      <c r="D547" s="28" t="s">
        <v>2127</v>
      </c>
      <c r="E547" s="12" t="s">
        <v>1362</v>
      </c>
      <c r="F547" s="1"/>
      <c r="G547" s="1">
        <v>36.423999999999999</v>
      </c>
      <c r="H547" s="1">
        <v>0.61</v>
      </c>
      <c r="I547" s="12">
        <f t="shared" si="166"/>
        <v>37.033999999999999</v>
      </c>
      <c r="J547" s="12">
        <v>90311.633000000002</v>
      </c>
      <c r="K547" s="12"/>
      <c r="L547" s="12">
        <f t="shared" si="167"/>
        <v>90311.633000000002</v>
      </c>
      <c r="M547" s="12">
        <f t="shared" si="159"/>
        <v>2438.6140573527032</v>
      </c>
      <c r="N547" s="12" t="e">
        <f t="shared" si="168"/>
        <v>#REF!</v>
      </c>
      <c r="O547" s="12" t="e">
        <f t="shared" si="169"/>
        <v>#REF!</v>
      </c>
      <c r="P547" s="12" t="e">
        <f t="shared" si="170"/>
        <v>#REF!</v>
      </c>
    </row>
    <row r="548" spans="1:16" ht="15.75" hidden="1" x14ac:dyDescent="0.25">
      <c r="A548" s="14">
        <v>10</v>
      </c>
      <c r="B548" s="14">
        <v>27</v>
      </c>
      <c r="C548" s="8" t="s">
        <v>1129</v>
      </c>
      <c r="D548" s="28" t="s">
        <v>2128</v>
      </c>
      <c r="E548" s="12" t="s">
        <v>1363</v>
      </c>
      <c r="F548" s="1"/>
      <c r="G548" s="1">
        <v>34.164999999999999</v>
      </c>
      <c r="H548" s="1">
        <v>0.36399999999999999</v>
      </c>
      <c r="I548" s="12">
        <f t="shared" si="166"/>
        <v>34.528999999999996</v>
      </c>
      <c r="J548" s="12">
        <v>94535.57</v>
      </c>
      <c r="K548" s="12"/>
      <c r="L548" s="12">
        <f t="shared" si="167"/>
        <v>94535.57</v>
      </c>
      <c r="M548" s="12">
        <f t="shared" si="159"/>
        <v>2737.8600596599963</v>
      </c>
      <c r="N548" s="12" t="e">
        <f t="shared" si="168"/>
        <v>#REF!</v>
      </c>
      <c r="O548" s="12" t="e">
        <f t="shared" si="169"/>
        <v>#REF!</v>
      </c>
      <c r="P548" s="12" t="e">
        <f t="shared" si="170"/>
        <v>#REF!</v>
      </c>
    </row>
    <row r="549" spans="1:16" ht="15.75" hidden="1" x14ac:dyDescent="0.25">
      <c r="A549" s="14">
        <v>10</v>
      </c>
      <c r="B549" s="14">
        <v>28</v>
      </c>
      <c r="C549" s="8" t="s">
        <v>1129</v>
      </c>
      <c r="D549" s="28" t="s">
        <v>2129</v>
      </c>
      <c r="E549" s="12" t="s">
        <v>1364</v>
      </c>
      <c r="F549" s="1"/>
      <c r="G549" s="1">
        <v>35.543999999999997</v>
      </c>
      <c r="H549" s="1">
        <v>2.0859999999999999</v>
      </c>
      <c r="I549" s="12">
        <f t="shared" si="166"/>
        <v>37.629999999999995</v>
      </c>
      <c r="J549" s="12">
        <v>68350.061000000002</v>
      </c>
      <c r="K549" s="12"/>
      <c r="L549" s="12">
        <f t="shared" si="167"/>
        <v>68350.061000000002</v>
      </c>
      <c r="M549" s="12">
        <f t="shared" si="159"/>
        <v>1816.3715386659583</v>
      </c>
      <c r="N549" s="12" t="e">
        <f t="shared" si="168"/>
        <v>#REF!</v>
      </c>
      <c r="O549" s="12" t="e">
        <f t="shared" si="169"/>
        <v>#REF!</v>
      </c>
      <c r="P549" s="12" t="e">
        <f t="shared" si="170"/>
        <v>#REF!</v>
      </c>
    </row>
    <row r="550" spans="1:16" ht="15.75" hidden="1" x14ac:dyDescent="0.25">
      <c r="A550" s="14">
        <v>10</v>
      </c>
      <c r="B550" s="14">
        <v>29</v>
      </c>
      <c r="C550" s="8" t="s">
        <v>1129</v>
      </c>
      <c r="D550" s="28" t="s">
        <v>2130</v>
      </c>
      <c r="E550" s="12" t="s">
        <v>1365</v>
      </c>
      <c r="F550" s="1"/>
      <c r="G550" s="1">
        <v>19.452000000000002</v>
      </c>
      <c r="H550" s="1">
        <v>0.45200000000000001</v>
      </c>
      <c r="I550" s="12">
        <f t="shared" si="166"/>
        <v>19.904000000000003</v>
      </c>
      <c r="J550" s="12">
        <f>65966.944-18322.915-12492.894</f>
        <v>35151.135000000002</v>
      </c>
      <c r="K550" s="12"/>
      <c r="L550" s="12">
        <f t="shared" si="167"/>
        <v>35151.135000000002</v>
      </c>
      <c r="M550" s="12">
        <f t="shared" si="159"/>
        <v>1766.0337118167201</v>
      </c>
      <c r="N550" s="12" t="e">
        <f t="shared" si="168"/>
        <v>#REF!</v>
      </c>
      <c r="O550" s="12" t="e">
        <f t="shared" si="169"/>
        <v>#REF!</v>
      </c>
      <c r="P550" s="12" t="e">
        <f t="shared" si="170"/>
        <v>#REF!</v>
      </c>
    </row>
    <row r="551" spans="1:16" ht="15.75" hidden="1" x14ac:dyDescent="0.25">
      <c r="A551" s="14">
        <v>10</v>
      </c>
      <c r="B551" s="14">
        <v>30</v>
      </c>
      <c r="C551" s="8" t="s">
        <v>1129</v>
      </c>
      <c r="D551" s="28" t="s">
        <v>2131</v>
      </c>
      <c r="E551" s="12" t="s">
        <v>1366</v>
      </c>
      <c r="F551" s="1"/>
      <c r="G551" s="1">
        <v>5.7430000000000003</v>
      </c>
      <c r="H551" s="1">
        <v>5.5E-2</v>
      </c>
      <c r="I551" s="12">
        <f t="shared" si="166"/>
        <v>5.798</v>
      </c>
      <c r="J551" s="12">
        <v>5125.6899999999996</v>
      </c>
      <c r="K551" s="12"/>
      <c r="L551" s="12">
        <f t="shared" si="167"/>
        <v>5125.6899999999996</v>
      </c>
      <c r="M551" s="12">
        <f t="shared" si="159"/>
        <v>884.04449810279402</v>
      </c>
      <c r="N551" s="12" t="e">
        <f t="shared" si="168"/>
        <v>#REF!</v>
      </c>
      <c r="O551" s="12" t="e">
        <f t="shared" si="169"/>
        <v>#REF!</v>
      </c>
      <c r="P551" s="12" t="e">
        <f t="shared" si="170"/>
        <v>#REF!</v>
      </c>
    </row>
    <row r="552" spans="1:16" ht="15.75" hidden="1" x14ac:dyDescent="0.25">
      <c r="A552" s="14">
        <v>10</v>
      </c>
      <c r="B552" s="14">
        <v>31</v>
      </c>
      <c r="C552" s="8" t="s">
        <v>1129</v>
      </c>
      <c r="D552" s="28" t="s">
        <v>2132</v>
      </c>
      <c r="E552" s="12" t="s">
        <v>1367</v>
      </c>
      <c r="F552" s="1"/>
      <c r="G552" s="1">
        <v>26.994</v>
      </c>
      <c r="H552" s="1">
        <v>0.16600000000000001</v>
      </c>
      <c r="I552" s="12">
        <f t="shared" si="166"/>
        <v>27.16</v>
      </c>
      <c r="J552" s="12">
        <v>39806.688000000002</v>
      </c>
      <c r="K552" s="12"/>
      <c r="L552" s="12">
        <f t="shared" si="167"/>
        <v>39806.688000000002</v>
      </c>
      <c r="M552" s="12">
        <f t="shared" si="159"/>
        <v>1465.6365243004418</v>
      </c>
      <c r="N552" s="12" t="e">
        <f t="shared" si="168"/>
        <v>#REF!</v>
      </c>
      <c r="O552" s="12" t="e">
        <f t="shared" si="169"/>
        <v>#REF!</v>
      </c>
      <c r="P552" s="12" t="e">
        <f t="shared" si="170"/>
        <v>#REF!</v>
      </c>
    </row>
    <row r="553" spans="1:16" ht="15.75" hidden="1" x14ac:dyDescent="0.25">
      <c r="A553" s="14">
        <v>10</v>
      </c>
      <c r="B553" s="14">
        <v>32</v>
      </c>
      <c r="C553" s="8" t="s">
        <v>1129</v>
      </c>
      <c r="D553" s="28" t="s">
        <v>2133</v>
      </c>
      <c r="E553" s="12" t="s">
        <v>1368</v>
      </c>
      <c r="F553" s="1"/>
      <c r="G553" s="1">
        <v>35.780999999999999</v>
      </c>
      <c r="H553" s="1">
        <v>0.33800000000000002</v>
      </c>
      <c r="I553" s="12">
        <f t="shared" si="166"/>
        <v>36.119</v>
      </c>
      <c r="J553" s="12">
        <f>58959.062-1405.643</f>
        <v>57553.418999999994</v>
      </c>
      <c r="K553" s="12"/>
      <c r="L553" s="12">
        <f t="shared" si="167"/>
        <v>57553.418999999994</v>
      </c>
      <c r="M553" s="12">
        <f t="shared" si="159"/>
        <v>1593.438882582574</v>
      </c>
      <c r="N553" s="12" t="e">
        <f t="shared" si="168"/>
        <v>#REF!</v>
      </c>
      <c r="O553" s="12" t="e">
        <f t="shared" si="169"/>
        <v>#REF!</v>
      </c>
      <c r="P553" s="12" t="e">
        <f t="shared" si="170"/>
        <v>#REF!</v>
      </c>
    </row>
    <row r="554" spans="1:16" ht="15.75" hidden="1" x14ac:dyDescent="0.25">
      <c r="A554" s="14">
        <v>10</v>
      </c>
      <c r="B554" s="14">
        <v>33</v>
      </c>
      <c r="C554" s="8" t="s">
        <v>1129</v>
      </c>
      <c r="D554" s="28" t="s">
        <v>2134</v>
      </c>
      <c r="E554" s="12" t="s">
        <v>1369</v>
      </c>
      <c r="F554" s="1"/>
      <c r="G554" s="1">
        <v>22.132999999999999</v>
      </c>
      <c r="H554" s="1">
        <v>0.11799999999999999</v>
      </c>
      <c r="I554" s="12">
        <f t="shared" si="166"/>
        <v>22.250999999999998</v>
      </c>
      <c r="J554" s="12">
        <v>36217.546999999999</v>
      </c>
      <c r="K554" s="12"/>
      <c r="L554" s="12">
        <f t="shared" si="167"/>
        <v>36217.546999999999</v>
      </c>
      <c r="M554" s="12">
        <f t="shared" si="159"/>
        <v>1627.6817671115905</v>
      </c>
      <c r="N554" s="12" t="e">
        <f t="shared" si="168"/>
        <v>#REF!</v>
      </c>
      <c r="O554" s="12" t="e">
        <f t="shared" si="169"/>
        <v>#REF!</v>
      </c>
      <c r="P554" s="12" t="e">
        <f t="shared" si="170"/>
        <v>#REF!</v>
      </c>
    </row>
    <row r="555" spans="1:16" ht="15.75" hidden="1" x14ac:dyDescent="0.25">
      <c r="A555" s="14">
        <v>10</v>
      </c>
      <c r="B555" s="14">
        <v>34</v>
      </c>
      <c r="C555" s="8" t="s">
        <v>1129</v>
      </c>
      <c r="D555" s="28" t="s">
        <v>2135</v>
      </c>
      <c r="E555" s="12" t="s">
        <v>1370</v>
      </c>
      <c r="F555" s="1"/>
      <c r="G555" s="1">
        <v>27.942</v>
      </c>
      <c r="H555" s="1">
        <v>0.29099999999999998</v>
      </c>
      <c r="I555" s="12">
        <f t="shared" si="166"/>
        <v>28.233000000000001</v>
      </c>
      <c r="J555" s="12">
        <v>38398.824000000001</v>
      </c>
      <c r="K555" s="12"/>
      <c r="L555" s="12">
        <f t="shared" si="167"/>
        <v>38398.824000000001</v>
      </c>
      <c r="M555" s="12">
        <f t="shared" si="159"/>
        <v>1360.0688555945171</v>
      </c>
      <c r="N555" s="12" t="e">
        <f t="shared" si="168"/>
        <v>#REF!</v>
      </c>
      <c r="O555" s="12" t="e">
        <f t="shared" si="169"/>
        <v>#REF!</v>
      </c>
      <c r="P555" s="12" t="e">
        <f t="shared" si="170"/>
        <v>#REF!</v>
      </c>
    </row>
    <row r="556" spans="1:16" ht="15.75" hidden="1" x14ac:dyDescent="0.25">
      <c r="A556" s="14">
        <v>10</v>
      </c>
      <c r="B556" s="14">
        <v>35</v>
      </c>
      <c r="C556" s="8" t="s">
        <v>1129</v>
      </c>
      <c r="D556" s="28" t="s">
        <v>2136</v>
      </c>
      <c r="E556" s="12" t="s">
        <v>1371</v>
      </c>
      <c r="F556" s="1"/>
      <c r="G556" s="1">
        <v>10.375</v>
      </c>
      <c r="H556" s="1">
        <v>3.1E-2</v>
      </c>
      <c r="I556" s="12">
        <f t="shared" si="166"/>
        <v>10.406000000000001</v>
      </c>
      <c r="J556" s="12">
        <f>33346.444-25111.864</f>
        <v>8234.5800000000017</v>
      </c>
      <c r="K556" s="12"/>
      <c r="L556" s="12">
        <f t="shared" si="167"/>
        <v>8234.5800000000017</v>
      </c>
      <c r="M556" s="12">
        <f t="shared" si="159"/>
        <v>791.33000192196823</v>
      </c>
      <c r="N556" s="12" t="e">
        <f t="shared" si="168"/>
        <v>#REF!</v>
      </c>
      <c r="O556" s="12" t="e">
        <f t="shared" si="169"/>
        <v>#REF!</v>
      </c>
      <c r="P556" s="12" t="e">
        <f t="shared" si="170"/>
        <v>#REF!</v>
      </c>
    </row>
    <row r="557" spans="1:16" ht="15.75" hidden="1" x14ac:dyDescent="0.25">
      <c r="A557" s="14">
        <v>10</v>
      </c>
      <c r="B557" s="14">
        <v>36</v>
      </c>
      <c r="C557" s="8" t="s">
        <v>1129</v>
      </c>
      <c r="D557" s="28" t="s">
        <v>2137</v>
      </c>
      <c r="E557" s="12" t="s">
        <v>1372</v>
      </c>
      <c r="F557" s="1"/>
      <c r="G557" s="1">
        <v>30.777000000000001</v>
      </c>
      <c r="H557" s="1">
        <v>0.378</v>
      </c>
      <c r="I557" s="12">
        <f t="shared" si="166"/>
        <v>31.155000000000001</v>
      </c>
      <c r="J557" s="12">
        <v>23804.684000000001</v>
      </c>
      <c r="K557" s="12"/>
      <c r="L557" s="12">
        <f t="shared" si="167"/>
        <v>23804.684000000001</v>
      </c>
      <c r="M557" s="12">
        <f t="shared" si="159"/>
        <v>764.07266891349707</v>
      </c>
      <c r="N557" s="12" t="e">
        <f t="shared" si="168"/>
        <v>#REF!</v>
      </c>
      <c r="O557" s="12" t="e">
        <f t="shared" si="169"/>
        <v>#REF!</v>
      </c>
      <c r="P557" s="12" t="e">
        <f t="shared" si="170"/>
        <v>#REF!</v>
      </c>
    </row>
    <row r="558" spans="1:16" ht="15.75" hidden="1" x14ac:dyDescent="0.25">
      <c r="A558" s="14">
        <v>10</v>
      </c>
      <c r="B558" s="14">
        <v>37</v>
      </c>
      <c r="C558" s="8" t="s">
        <v>1129</v>
      </c>
      <c r="D558" s="28" t="s">
        <v>2138</v>
      </c>
      <c r="E558" s="12" t="s">
        <v>1373</v>
      </c>
      <c r="F558" s="1"/>
      <c r="G558" s="1">
        <v>32.664999999999999</v>
      </c>
      <c r="H558" s="1">
        <v>0.39400000000000002</v>
      </c>
      <c r="I558" s="12">
        <f t="shared" si="166"/>
        <v>33.058999999999997</v>
      </c>
      <c r="J558" s="12">
        <v>57341.713000000003</v>
      </c>
      <c r="K558" s="12"/>
      <c r="L558" s="12">
        <f t="shared" si="167"/>
        <v>57341.713000000003</v>
      </c>
      <c r="M558" s="12">
        <f t="shared" si="159"/>
        <v>1734.5265434526152</v>
      </c>
      <c r="N558" s="12" t="e">
        <f t="shared" si="168"/>
        <v>#REF!</v>
      </c>
      <c r="O558" s="12" t="e">
        <f t="shared" si="169"/>
        <v>#REF!</v>
      </c>
      <c r="P558" s="12" t="e">
        <f t="shared" si="170"/>
        <v>#REF!</v>
      </c>
    </row>
    <row r="559" spans="1:16" ht="15.75" hidden="1" x14ac:dyDescent="0.25">
      <c r="A559" s="15">
        <v>10</v>
      </c>
      <c r="B559" s="15" t="s">
        <v>1126</v>
      </c>
      <c r="C559" s="10" t="s">
        <v>1743</v>
      </c>
      <c r="D559" s="29"/>
      <c r="E559" s="37" t="s">
        <v>1747</v>
      </c>
      <c r="F559" s="6"/>
      <c r="G559" s="37">
        <f t="shared" ref="G559:L559" si="171">SUM(G560:G568)</f>
        <v>96.89800000000001</v>
      </c>
      <c r="H559" s="37">
        <f>SUM(H560:H568)</f>
        <v>0.86499999999999999</v>
      </c>
      <c r="I559" s="37">
        <f t="shared" si="171"/>
        <v>97.763000000000019</v>
      </c>
      <c r="J559" s="37">
        <f t="shared" si="171"/>
        <v>153963.285</v>
      </c>
      <c r="K559" s="37">
        <f t="shared" si="171"/>
        <v>0</v>
      </c>
      <c r="L559" s="37">
        <f t="shared" si="171"/>
        <v>153963.285</v>
      </c>
      <c r="M559" s="37">
        <f t="shared" si="159"/>
        <v>1574.8625246770248</v>
      </c>
      <c r="N559" s="37" t="e">
        <f>M559/$M$1429</f>
        <v>#REF!</v>
      </c>
      <c r="O559" s="37" t="e">
        <f>SUM(O560:O568)</f>
        <v>#REF!</v>
      </c>
      <c r="P559" s="37" t="e">
        <f>SUM(P560:P568)</f>
        <v>#REF!</v>
      </c>
    </row>
    <row r="560" spans="1:16" ht="15.75" hidden="1" x14ac:dyDescent="0.25">
      <c r="A560" s="14">
        <v>10</v>
      </c>
      <c r="B560" s="14">
        <v>38</v>
      </c>
      <c r="C560" s="8" t="s">
        <v>1744</v>
      </c>
      <c r="D560" s="28" t="s">
        <v>2139</v>
      </c>
      <c r="E560" s="12" t="s">
        <v>2616</v>
      </c>
      <c r="F560" s="1"/>
      <c r="G560" s="1">
        <v>10.313000000000001</v>
      </c>
      <c r="H560" s="1">
        <v>0.13900000000000001</v>
      </c>
      <c r="I560" s="12">
        <f t="shared" ref="I560:I568" si="172">H560+G560</f>
        <v>10.452</v>
      </c>
      <c r="J560" s="12">
        <v>11138.064</v>
      </c>
      <c r="K560" s="12"/>
      <c r="L560" s="12">
        <f t="shared" ref="L560:L565" si="173">J560+K560</f>
        <v>11138.064</v>
      </c>
      <c r="M560" s="12">
        <f t="shared" si="159"/>
        <v>1065.6394948335246</v>
      </c>
      <c r="N560" s="12" t="e">
        <f t="shared" ref="N560:N568" si="174">M560/$M$1433</f>
        <v>#REF!</v>
      </c>
      <c r="O560" s="12" t="e">
        <f t="shared" ref="O560:O568" si="175">ROUND(IF(N560&lt;110%,0,(M560-$M$1433*1.1)*0.8)*I560,1)</f>
        <v>#REF!</v>
      </c>
      <c r="P560" s="12" t="e">
        <f t="shared" ref="P560:P568" si="176">ROUND(IF(N560&gt;90%,0,(-M560+$M$1433*0.9)*0.8)*I560,1)</f>
        <v>#REF!</v>
      </c>
    </row>
    <row r="561" spans="1:16" ht="15.75" hidden="1" x14ac:dyDescent="0.25">
      <c r="A561" s="14">
        <v>10</v>
      </c>
      <c r="B561" s="14">
        <v>39</v>
      </c>
      <c r="C561" s="19" t="s">
        <v>1744</v>
      </c>
      <c r="D561" s="31" t="s">
        <v>93</v>
      </c>
      <c r="E561" s="12" t="s">
        <v>94</v>
      </c>
      <c r="F561" s="1"/>
      <c r="G561" s="1">
        <v>8.1370000000000005</v>
      </c>
      <c r="H561" s="1">
        <v>6.4000000000000001E-2</v>
      </c>
      <c r="I561" s="12">
        <f t="shared" si="172"/>
        <v>8.2010000000000005</v>
      </c>
      <c r="J561" s="12">
        <v>10761.299000000001</v>
      </c>
      <c r="K561" s="12"/>
      <c r="L561" s="12">
        <f t="shared" si="173"/>
        <v>10761.299000000001</v>
      </c>
      <c r="M561" s="12">
        <f t="shared" si="159"/>
        <v>1312.1935129862213</v>
      </c>
      <c r="N561" s="12" t="e">
        <f t="shared" si="174"/>
        <v>#REF!</v>
      </c>
      <c r="O561" s="12" t="e">
        <f t="shared" si="175"/>
        <v>#REF!</v>
      </c>
      <c r="P561" s="12" t="e">
        <f t="shared" si="176"/>
        <v>#REF!</v>
      </c>
    </row>
    <row r="562" spans="1:16" ht="15.75" hidden="1" x14ac:dyDescent="0.25">
      <c r="A562" s="49">
        <v>10</v>
      </c>
      <c r="B562" s="49">
        <v>40</v>
      </c>
      <c r="C562" s="54" t="s">
        <v>1744</v>
      </c>
      <c r="D562" s="55" t="s">
        <v>756</v>
      </c>
      <c r="E562" s="52" t="s">
        <v>757</v>
      </c>
      <c r="F562" s="53"/>
      <c r="G562" s="53">
        <v>3.9649999999999999</v>
      </c>
      <c r="H562" s="53">
        <v>2.4E-2</v>
      </c>
      <c r="I562" s="12">
        <f t="shared" si="172"/>
        <v>3.9889999999999999</v>
      </c>
      <c r="J562" s="52">
        <v>7170.4390000000003</v>
      </c>
      <c r="K562" s="52"/>
      <c r="L562" s="52">
        <f t="shared" si="173"/>
        <v>7170.4390000000003</v>
      </c>
      <c r="M562" s="52">
        <f t="shared" si="159"/>
        <v>1797.55302080722</v>
      </c>
      <c r="N562" s="12" t="e">
        <f t="shared" si="174"/>
        <v>#REF!</v>
      </c>
      <c r="O562" s="12" t="e">
        <f t="shared" si="175"/>
        <v>#REF!</v>
      </c>
      <c r="P562" s="12" t="e">
        <f t="shared" si="176"/>
        <v>#REF!</v>
      </c>
    </row>
    <row r="563" spans="1:16" ht="15.75" hidden="1" x14ac:dyDescent="0.25">
      <c r="A563" s="49">
        <v>10</v>
      </c>
      <c r="B563" s="49">
        <v>41</v>
      </c>
      <c r="C563" s="54" t="s">
        <v>1744</v>
      </c>
      <c r="D563" s="55" t="s">
        <v>758</v>
      </c>
      <c r="E563" s="52" t="s">
        <v>759</v>
      </c>
      <c r="F563" s="53"/>
      <c r="G563" s="53">
        <v>18.225999999999999</v>
      </c>
      <c r="H563" s="53">
        <v>0.21</v>
      </c>
      <c r="I563" s="12">
        <f t="shared" si="172"/>
        <v>18.436</v>
      </c>
      <c r="J563" s="52">
        <v>42567.97</v>
      </c>
      <c r="K563" s="52"/>
      <c r="L563" s="52">
        <f t="shared" si="173"/>
        <v>42567.97</v>
      </c>
      <c r="M563" s="52">
        <f t="shared" si="159"/>
        <v>2308.9591017574312</v>
      </c>
      <c r="N563" s="12" t="e">
        <f t="shared" si="174"/>
        <v>#REF!</v>
      </c>
      <c r="O563" s="12" t="e">
        <f t="shared" si="175"/>
        <v>#REF!</v>
      </c>
      <c r="P563" s="12" t="e">
        <f t="shared" si="176"/>
        <v>#REF!</v>
      </c>
    </row>
    <row r="564" spans="1:16" ht="15.75" hidden="1" x14ac:dyDescent="0.25">
      <c r="A564" s="49">
        <v>10</v>
      </c>
      <c r="B564" s="49">
        <v>42</v>
      </c>
      <c r="C564" s="54" t="s">
        <v>1744</v>
      </c>
      <c r="D564" s="55" t="s">
        <v>760</v>
      </c>
      <c r="E564" s="52" t="s">
        <v>761</v>
      </c>
      <c r="F564" s="53"/>
      <c r="G564" s="53">
        <v>4.6269999999999998</v>
      </c>
      <c r="H564" s="53">
        <v>0.13100000000000001</v>
      </c>
      <c r="I564" s="12">
        <f t="shared" si="172"/>
        <v>4.758</v>
      </c>
      <c r="J564" s="52">
        <v>18322.915000000001</v>
      </c>
      <c r="K564" s="52"/>
      <c r="L564" s="52">
        <f t="shared" si="173"/>
        <v>18322.915000000001</v>
      </c>
      <c r="M564" s="52">
        <f t="shared" si="159"/>
        <v>3850.9699453551916</v>
      </c>
      <c r="N564" s="12" t="e">
        <f t="shared" si="174"/>
        <v>#REF!</v>
      </c>
      <c r="O564" s="12" t="e">
        <f t="shared" si="175"/>
        <v>#REF!</v>
      </c>
      <c r="P564" s="12" t="e">
        <f t="shared" si="176"/>
        <v>#REF!</v>
      </c>
    </row>
    <row r="565" spans="1:16" ht="31.5" hidden="1" x14ac:dyDescent="0.25">
      <c r="A565" s="49">
        <v>10</v>
      </c>
      <c r="B565" s="49">
        <v>43</v>
      </c>
      <c r="C565" s="54" t="s">
        <v>1744</v>
      </c>
      <c r="D565" s="55" t="s">
        <v>762</v>
      </c>
      <c r="E565" s="52" t="s">
        <v>763</v>
      </c>
      <c r="F565" s="53"/>
      <c r="G565" s="53">
        <v>8.0419999999999998</v>
      </c>
      <c r="H565" s="53">
        <v>6.7000000000000004E-2</v>
      </c>
      <c r="I565" s="12">
        <f t="shared" si="172"/>
        <v>8.109</v>
      </c>
      <c r="J565" s="52">
        <f>6761.097+1405.643</f>
        <v>8166.74</v>
      </c>
      <c r="K565" s="52"/>
      <c r="L565" s="52">
        <f t="shared" si="173"/>
        <v>8166.74</v>
      </c>
      <c r="M565" s="52">
        <f t="shared" si="159"/>
        <v>1007.1204834134911</v>
      </c>
      <c r="N565" s="12" t="e">
        <f t="shared" si="174"/>
        <v>#REF!</v>
      </c>
      <c r="O565" s="12" t="e">
        <f t="shared" si="175"/>
        <v>#REF!</v>
      </c>
      <c r="P565" s="12" t="e">
        <f t="shared" si="176"/>
        <v>#REF!</v>
      </c>
    </row>
    <row r="566" spans="1:16" ht="18.75" hidden="1" x14ac:dyDescent="0.3">
      <c r="A566" s="49">
        <v>10</v>
      </c>
      <c r="B566" s="49">
        <v>44</v>
      </c>
      <c r="C566" s="12" t="s">
        <v>1744</v>
      </c>
      <c r="D566" s="61" t="s">
        <v>1077</v>
      </c>
      <c r="E566" s="63" t="s">
        <v>1078</v>
      </c>
      <c r="F566" s="53"/>
      <c r="G566" s="53">
        <v>18.032</v>
      </c>
      <c r="H566" s="53">
        <v>0.10299999999999999</v>
      </c>
      <c r="I566" s="12">
        <f t="shared" si="172"/>
        <v>18.135000000000002</v>
      </c>
      <c r="J566" s="52">
        <v>18231.099999999999</v>
      </c>
      <c r="K566" s="52"/>
      <c r="L566" s="52">
        <f>J566+K566</f>
        <v>18231.099999999999</v>
      </c>
      <c r="M566" s="52">
        <f>L566/I566</f>
        <v>1005.2991452991452</v>
      </c>
      <c r="N566" s="12" t="e">
        <f t="shared" si="174"/>
        <v>#REF!</v>
      </c>
      <c r="O566" s="12" t="e">
        <f t="shared" si="175"/>
        <v>#REF!</v>
      </c>
      <c r="P566" s="12" t="e">
        <f t="shared" si="176"/>
        <v>#REF!</v>
      </c>
    </row>
    <row r="567" spans="1:16" ht="18.75" hidden="1" x14ac:dyDescent="0.3">
      <c r="A567" s="49">
        <v>10</v>
      </c>
      <c r="B567" s="49">
        <v>45</v>
      </c>
      <c r="C567" s="12" t="s">
        <v>1744</v>
      </c>
      <c r="D567" s="61" t="s">
        <v>1079</v>
      </c>
      <c r="E567" s="63" t="s">
        <v>1080</v>
      </c>
      <c r="F567" s="53"/>
      <c r="G567" s="53">
        <v>21.539000000000001</v>
      </c>
      <c r="H567" s="53">
        <v>9.5000000000000001E-2</v>
      </c>
      <c r="I567" s="12">
        <f t="shared" si="172"/>
        <v>21.634</v>
      </c>
      <c r="J567" s="52">
        <v>25111.864000000001</v>
      </c>
      <c r="K567" s="52"/>
      <c r="L567" s="52">
        <f>J567+K567</f>
        <v>25111.864000000001</v>
      </c>
      <c r="M567" s="52">
        <f>L567/I567</f>
        <v>1160.7591753720994</v>
      </c>
      <c r="N567" s="12" t="e">
        <f t="shared" si="174"/>
        <v>#REF!</v>
      </c>
      <c r="O567" s="12" t="e">
        <f t="shared" si="175"/>
        <v>#REF!</v>
      </c>
      <c r="P567" s="12" t="e">
        <f t="shared" si="176"/>
        <v>#REF!</v>
      </c>
    </row>
    <row r="568" spans="1:16" ht="37.5" hidden="1" x14ac:dyDescent="0.3">
      <c r="A568" s="49">
        <v>10</v>
      </c>
      <c r="B568" s="49">
        <v>46</v>
      </c>
      <c r="C568" s="12" t="s">
        <v>1744</v>
      </c>
      <c r="D568" s="61" t="s">
        <v>1081</v>
      </c>
      <c r="E568" s="63" t="s">
        <v>1082</v>
      </c>
      <c r="F568" s="53"/>
      <c r="G568" s="53">
        <v>4.0170000000000003</v>
      </c>
      <c r="H568" s="53">
        <v>3.2000000000000001E-2</v>
      </c>
      <c r="I568" s="12">
        <f t="shared" si="172"/>
        <v>4.0490000000000004</v>
      </c>
      <c r="J568" s="52">
        <v>12492.894</v>
      </c>
      <c r="K568" s="52"/>
      <c r="L568" s="52">
        <f>J568+K568</f>
        <v>12492.894</v>
      </c>
      <c r="M568" s="52">
        <f>L568/I568</f>
        <v>3085.4270190170409</v>
      </c>
      <c r="N568" s="12" t="e">
        <f t="shared" si="174"/>
        <v>#REF!</v>
      </c>
      <c r="O568" s="12" t="e">
        <f t="shared" si="175"/>
        <v>#REF!</v>
      </c>
      <c r="P568" s="12" t="e">
        <f t="shared" si="176"/>
        <v>#REF!</v>
      </c>
    </row>
    <row r="569" spans="1:16" s="75" customFormat="1" ht="15.75" hidden="1" x14ac:dyDescent="0.25">
      <c r="A569" s="72">
        <v>11</v>
      </c>
      <c r="B569" s="72" t="s">
        <v>1126</v>
      </c>
      <c r="C569" s="73" t="s">
        <v>1161</v>
      </c>
      <c r="D569" s="74"/>
      <c r="E569" s="71" t="s">
        <v>1396</v>
      </c>
      <c r="F569" s="76"/>
      <c r="G569" s="71">
        <f t="shared" ref="G569:L569" si="177">G570+G571+G576+G598</f>
        <v>965.75599999999997</v>
      </c>
      <c r="H569" s="71">
        <f t="shared" si="177"/>
        <v>8.0400000000000009</v>
      </c>
      <c r="I569" s="71">
        <f t="shared" si="177"/>
        <v>973.79600000000005</v>
      </c>
      <c r="J569" s="71">
        <f t="shared" si="177"/>
        <v>1411174.6539999999</v>
      </c>
      <c r="K569" s="71">
        <f t="shared" si="177"/>
        <v>1735.1999999999998</v>
      </c>
      <c r="L569" s="71">
        <f t="shared" si="177"/>
        <v>1412909.8540000001</v>
      </c>
      <c r="M569" s="71">
        <f>L569/I569</f>
        <v>1450.9300243582845</v>
      </c>
      <c r="N569" s="71" t="e">
        <f>M569/$M$1429</f>
        <v>#REF!</v>
      </c>
      <c r="O569" s="71" t="e">
        <f>O570+O571+O576+O598</f>
        <v>#REF!</v>
      </c>
      <c r="P569" s="71" t="e">
        <f>P570+P571+P576+P598</f>
        <v>#REF!</v>
      </c>
    </row>
    <row r="570" spans="1:16" ht="15.75" hidden="1" x14ac:dyDescent="0.25">
      <c r="A570" s="14">
        <v>11</v>
      </c>
      <c r="B570" s="14" t="s">
        <v>1126</v>
      </c>
      <c r="C570" s="8" t="s">
        <v>1159</v>
      </c>
      <c r="D570" s="28" t="s">
        <v>2140</v>
      </c>
      <c r="E570" s="12" t="s">
        <v>1160</v>
      </c>
      <c r="F570" s="1"/>
      <c r="G570" s="1">
        <v>0</v>
      </c>
      <c r="H570" s="1">
        <v>0</v>
      </c>
      <c r="I570" s="12">
        <f>H570+G570</f>
        <v>0</v>
      </c>
      <c r="J570" s="12"/>
      <c r="K570" s="12"/>
      <c r="L570" s="12"/>
      <c r="M570" s="12"/>
      <c r="N570" s="12"/>
      <c r="O570" s="12"/>
      <c r="P570" s="12"/>
    </row>
    <row r="571" spans="1:16" ht="15.75" hidden="1" x14ac:dyDescent="0.25">
      <c r="A571" s="15">
        <v>11</v>
      </c>
      <c r="B571" s="15" t="s">
        <v>1126</v>
      </c>
      <c r="C571" s="10" t="s">
        <v>1127</v>
      </c>
      <c r="D571" s="29"/>
      <c r="E571" s="37" t="s">
        <v>1128</v>
      </c>
      <c r="F571" s="6"/>
      <c r="G571" s="37">
        <f t="shared" ref="G571:L571" si="178">SUM(G572:G575)</f>
        <v>410.17199999999997</v>
      </c>
      <c r="H571" s="37">
        <f>SUM(H572:H575)</f>
        <v>5.0819999999999999</v>
      </c>
      <c r="I571" s="37">
        <f t="shared" si="178"/>
        <v>415.25400000000002</v>
      </c>
      <c r="J571" s="37">
        <f t="shared" si="178"/>
        <v>666050.88199999998</v>
      </c>
      <c r="K571" s="37">
        <f t="shared" si="178"/>
        <v>-2448.34</v>
      </c>
      <c r="L571" s="37">
        <f t="shared" si="178"/>
        <v>663602.54200000013</v>
      </c>
      <c r="M571" s="37">
        <f t="shared" ref="M571:M611" si="179">L571/I571</f>
        <v>1598.0641775876936</v>
      </c>
      <c r="N571" s="37" t="e">
        <f>M571/$M$1429</f>
        <v>#REF!</v>
      </c>
      <c r="O571" s="37" t="e">
        <f>SUM(O572:O575)</f>
        <v>#REF!</v>
      </c>
      <c r="P571" s="37" t="e">
        <f>SUM(P572:P575)</f>
        <v>#REF!</v>
      </c>
    </row>
    <row r="572" spans="1:16" ht="15.75" hidden="1" x14ac:dyDescent="0.25">
      <c r="A572" s="14">
        <v>11</v>
      </c>
      <c r="B572" s="14" t="s">
        <v>1811</v>
      </c>
      <c r="C572" s="8" t="s">
        <v>1119</v>
      </c>
      <c r="D572" s="28" t="s">
        <v>2141</v>
      </c>
      <c r="E572" s="12" t="s">
        <v>764</v>
      </c>
      <c r="F572" s="1"/>
      <c r="G572" s="1">
        <v>238.203</v>
      </c>
      <c r="H572" s="1">
        <v>2.2309999999999999</v>
      </c>
      <c r="I572" s="12">
        <f>H572+G572</f>
        <v>240.434</v>
      </c>
      <c r="J572" s="12">
        <v>465694.45</v>
      </c>
      <c r="K572" s="12"/>
      <c r="L572" s="12">
        <f>J572+K572</f>
        <v>465694.45</v>
      </c>
      <c r="M572" s="12">
        <f t="shared" si="179"/>
        <v>1936.8909971135531</v>
      </c>
      <c r="N572" s="12" t="e">
        <f>M572/$M$1431</f>
        <v>#REF!</v>
      </c>
      <c r="O572" s="12" t="e">
        <f>ROUND(IF(N572&lt;110%,0,(M572-$M$1431*1.1)*0.8)*I572,1)</f>
        <v>#REF!</v>
      </c>
      <c r="P572" s="12" t="e">
        <f>ROUND(IF(N572&gt;90%,0,(-M572+$M$1431*0.9)*0.8)*I572,1)</f>
        <v>#REF!</v>
      </c>
    </row>
    <row r="573" spans="1:16" ht="15.75" hidden="1" x14ac:dyDescent="0.25">
      <c r="A573" s="14">
        <v>11</v>
      </c>
      <c r="B573" s="14" t="s">
        <v>1810</v>
      </c>
      <c r="C573" s="8" t="s">
        <v>1119</v>
      </c>
      <c r="D573" s="28" t="s">
        <v>2142</v>
      </c>
      <c r="E573" s="12" t="s">
        <v>1375</v>
      </c>
      <c r="F573" s="1"/>
      <c r="G573" s="1">
        <v>28.17</v>
      </c>
      <c r="H573" s="1">
        <v>0.432</v>
      </c>
      <c r="I573" s="12">
        <f>H573+G573</f>
        <v>28.602</v>
      </c>
      <c r="J573" s="12">
        <v>83810.501000000004</v>
      </c>
      <c r="K573" s="12">
        <f>-2022.9*0.6+2892*0.6</f>
        <v>521.46</v>
      </c>
      <c r="L573" s="12">
        <f>J573+K573</f>
        <v>84331.96100000001</v>
      </c>
      <c r="M573" s="12">
        <f t="shared" si="179"/>
        <v>2948.4637787567308</v>
      </c>
      <c r="N573" s="12" t="e">
        <f>M573/$M$1431</f>
        <v>#REF!</v>
      </c>
      <c r="O573" s="12" t="e">
        <f>ROUND(IF(N573&lt;110%,0,(M573-$M$1431*1.1)*0.8)*I573,1)</f>
        <v>#REF!</v>
      </c>
      <c r="P573" s="12" t="e">
        <f>ROUND(IF(N573&gt;90%,0,(-M573+$M$1431*0.9)*0.8)*I573,1)</f>
        <v>#REF!</v>
      </c>
    </row>
    <row r="574" spans="1:16" ht="15.75" hidden="1" x14ac:dyDescent="0.25">
      <c r="A574" s="14">
        <v>11</v>
      </c>
      <c r="B574" s="14" t="s">
        <v>1850</v>
      </c>
      <c r="C574" s="8" t="s">
        <v>1119</v>
      </c>
      <c r="D574" s="28" t="s">
        <v>2143</v>
      </c>
      <c r="E574" s="12" t="s">
        <v>1376</v>
      </c>
      <c r="F574" s="1"/>
      <c r="G574" s="1">
        <v>90.825000000000003</v>
      </c>
      <c r="H574" s="1">
        <v>1.5189999999999999</v>
      </c>
      <c r="I574" s="12">
        <f>H574+G574</f>
        <v>92.344000000000008</v>
      </c>
      <c r="J574" s="12">
        <v>69177.698999999993</v>
      </c>
      <c r="K574" s="12">
        <f>536</f>
        <v>536</v>
      </c>
      <c r="L574" s="12">
        <f>J574+K574</f>
        <v>69713.698999999993</v>
      </c>
      <c r="M574" s="12">
        <f t="shared" si="179"/>
        <v>754.93479814606246</v>
      </c>
      <c r="N574" s="12" t="e">
        <f>M574/$M$1431</f>
        <v>#REF!</v>
      </c>
      <c r="O574" s="12" t="e">
        <f>ROUND(IF(N574&lt;110%,0,(M574-$M$1431*1.1)*0.8)*I574,1)</f>
        <v>#REF!</v>
      </c>
      <c r="P574" s="12" t="e">
        <f>ROUND(IF(N574&gt;90%,0,(-M574+$M$1431*0.9)*0.8)*I574,1)</f>
        <v>#REF!</v>
      </c>
    </row>
    <row r="575" spans="1:16" ht="15.75" hidden="1" x14ac:dyDescent="0.25">
      <c r="A575" s="14">
        <v>11</v>
      </c>
      <c r="B575" s="14" t="s">
        <v>1855</v>
      </c>
      <c r="C575" s="8" t="s">
        <v>1119</v>
      </c>
      <c r="D575" s="28" t="s">
        <v>2144</v>
      </c>
      <c r="E575" s="12" t="s">
        <v>1377</v>
      </c>
      <c r="F575" s="1"/>
      <c r="G575" s="1">
        <v>52.973999999999997</v>
      </c>
      <c r="H575" s="1">
        <v>0.9</v>
      </c>
      <c r="I575" s="12">
        <f>H575+G575</f>
        <v>53.873999999999995</v>
      </c>
      <c r="J575" s="12">
        <v>47368.232000000004</v>
      </c>
      <c r="K575" s="12">
        <f>-3505.8</f>
        <v>-3505.8</v>
      </c>
      <c r="L575" s="12">
        <f>J575+K575</f>
        <v>43862.432000000001</v>
      </c>
      <c r="M575" s="12">
        <f t="shared" si="179"/>
        <v>814.16698221776744</v>
      </c>
      <c r="N575" s="12" t="e">
        <f>M575/$M$1431</f>
        <v>#REF!</v>
      </c>
      <c r="O575" s="12" t="e">
        <f>ROUND(IF(N575&lt;110%,0,(M575-$M$1431*1.1)*0.8)*I575,1)</f>
        <v>#REF!</v>
      </c>
      <c r="P575" s="12" t="e">
        <f>ROUND(IF(N575&gt;90%,0,(-M575+$M$1431*0.9)*0.8)*I575,1)</f>
        <v>#REF!</v>
      </c>
    </row>
    <row r="576" spans="1:16" ht="15.75" hidden="1" x14ac:dyDescent="0.25">
      <c r="A576" s="15">
        <v>11</v>
      </c>
      <c r="B576" s="15" t="s">
        <v>1126</v>
      </c>
      <c r="C576" s="10" t="s">
        <v>1157</v>
      </c>
      <c r="D576" s="29"/>
      <c r="E576" s="37" t="s">
        <v>1158</v>
      </c>
      <c r="F576" s="6"/>
      <c r="G576" s="37">
        <f t="shared" ref="G576:L576" si="180">SUM(G577:G597)</f>
        <v>458.73500000000001</v>
      </c>
      <c r="H576" s="37">
        <f>SUM(H577:H597)</f>
        <v>2.5070000000000006</v>
      </c>
      <c r="I576" s="37">
        <f t="shared" si="180"/>
        <v>461.24200000000008</v>
      </c>
      <c r="J576" s="37">
        <f t="shared" si="180"/>
        <v>585346.01500000001</v>
      </c>
      <c r="K576" s="37">
        <f t="shared" si="180"/>
        <v>4183.54</v>
      </c>
      <c r="L576" s="37">
        <f t="shared" si="180"/>
        <v>589529.55499999993</v>
      </c>
      <c r="M576" s="37">
        <f t="shared" si="179"/>
        <v>1278.1350245641113</v>
      </c>
      <c r="N576" s="37" t="e">
        <f>M576/$M$1429</f>
        <v>#REF!</v>
      </c>
      <c r="O576" s="37" t="e">
        <f>SUM(O577:O597)</f>
        <v>#REF!</v>
      </c>
      <c r="P576" s="37" t="e">
        <f>SUM(P577:P597)</f>
        <v>#REF!</v>
      </c>
    </row>
    <row r="577" spans="1:16" ht="15.75" hidden="1" x14ac:dyDescent="0.25">
      <c r="A577" s="14">
        <v>11</v>
      </c>
      <c r="B577" s="14" t="s">
        <v>1818</v>
      </c>
      <c r="C577" s="8" t="s">
        <v>1129</v>
      </c>
      <c r="D577" s="28" t="s">
        <v>2145</v>
      </c>
      <c r="E577" s="12" t="s">
        <v>1378</v>
      </c>
      <c r="F577" s="1"/>
      <c r="G577" s="1">
        <v>14.007</v>
      </c>
      <c r="H577" s="1">
        <v>6.5000000000000002E-2</v>
      </c>
      <c r="I577" s="12">
        <f t="shared" ref="I577:I597" si="181">H577+G577</f>
        <v>14.071999999999999</v>
      </c>
      <c r="J577" s="12">
        <v>14179.944</v>
      </c>
      <c r="K577" s="12"/>
      <c r="L577" s="12">
        <f t="shared" ref="L577:L597" si="182">J577+K577</f>
        <v>14179.944</v>
      </c>
      <c r="M577" s="12">
        <f t="shared" si="179"/>
        <v>1007.6708357021035</v>
      </c>
      <c r="N577" s="12" t="e">
        <f t="shared" ref="N577:N597" si="183">M577/$M$1432</f>
        <v>#REF!</v>
      </c>
      <c r="O577" s="12" t="e">
        <f t="shared" ref="O577:O597" si="184">ROUND(IF(N577&lt;110%,0,(M577-$M$1432*1.1)*0.8)*I577,1)</f>
        <v>#REF!</v>
      </c>
      <c r="P577" s="12" t="e">
        <f t="shared" ref="P577:P597" si="185">ROUND(IF(N577&gt;90%,0,(-M577+$M$1432*0.9)*0.8)*I577,1)</f>
        <v>#REF!</v>
      </c>
    </row>
    <row r="578" spans="1:16" ht="15.75" hidden="1" x14ac:dyDescent="0.25">
      <c r="A578" s="14">
        <v>11</v>
      </c>
      <c r="B578" s="14" t="s">
        <v>1820</v>
      </c>
      <c r="C578" s="8" t="s">
        <v>1129</v>
      </c>
      <c r="D578" s="28" t="s">
        <v>2146</v>
      </c>
      <c r="E578" s="12" t="s">
        <v>1379</v>
      </c>
      <c r="F578" s="1"/>
      <c r="G578" s="1">
        <v>12.548999999999999</v>
      </c>
      <c r="H578" s="1">
        <v>3.2000000000000001E-2</v>
      </c>
      <c r="I578" s="12">
        <f t="shared" si="181"/>
        <v>12.581</v>
      </c>
      <c r="J578" s="12">
        <v>14801.021000000001</v>
      </c>
      <c r="K578" s="12"/>
      <c r="L578" s="12">
        <f t="shared" si="182"/>
        <v>14801.021000000001</v>
      </c>
      <c r="M578" s="12">
        <f t="shared" si="179"/>
        <v>1176.458230665289</v>
      </c>
      <c r="N578" s="12" t="e">
        <f t="shared" si="183"/>
        <v>#REF!</v>
      </c>
      <c r="O578" s="12" t="e">
        <f t="shared" si="184"/>
        <v>#REF!</v>
      </c>
      <c r="P578" s="12" t="e">
        <f t="shared" si="185"/>
        <v>#REF!</v>
      </c>
    </row>
    <row r="579" spans="1:16" ht="15.75" hidden="1" x14ac:dyDescent="0.25">
      <c r="A579" s="14">
        <v>11</v>
      </c>
      <c r="B579" s="14" t="s">
        <v>1822</v>
      </c>
      <c r="C579" s="8" t="s">
        <v>1129</v>
      </c>
      <c r="D579" s="28" t="s">
        <v>2147</v>
      </c>
      <c r="E579" s="12" t="s">
        <v>1380</v>
      </c>
      <c r="F579" s="1"/>
      <c r="G579" s="1">
        <v>37.844000000000001</v>
      </c>
      <c r="H579" s="1">
        <v>0.14199999999999999</v>
      </c>
      <c r="I579" s="12">
        <f t="shared" si="181"/>
        <v>37.986000000000004</v>
      </c>
      <c r="J579" s="12">
        <v>30647.368999999999</v>
      </c>
      <c r="K579" s="12"/>
      <c r="L579" s="12">
        <f t="shared" si="182"/>
        <v>30647.368999999999</v>
      </c>
      <c r="M579" s="12">
        <f t="shared" si="179"/>
        <v>806.80695519401877</v>
      </c>
      <c r="N579" s="12" t="e">
        <f t="shared" si="183"/>
        <v>#REF!</v>
      </c>
      <c r="O579" s="12" t="e">
        <f t="shared" si="184"/>
        <v>#REF!</v>
      </c>
      <c r="P579" s="12" t="e">
        <f t="shared" si="185"/>
        <v>#REF!</v>
      </c>
    </row>
    <row r="580" spans="1:16" ht="15.75" hidden="1" x14ac:dyDescent="0.25">
      <c r="A580" s="14">
        <v>11</v>
      </c>
      <c r="B580" s="14" t="s">
        <v>1824</v>
      </c>
      <c r="C580" s="8" t="s">
        <v>1129</v>
      </c>
      <c r="D580" s="28" t="s">
        <v>2148</v>
      </c>
      <c r="E580" s="12" t="s">
        <v>1381</v>
      </c>
      <c r="F580" s="1"/>
      <c r="G580" s="1">
        <v>30.76</v>
      </c>
      <c r="H580" s="1">
        <v>6.5000000000000002E-2</v>
      </c>
      <c r="I580" s="12">
        <f t="shared" si="181"/>
        <v>30.825000000000003</v>
      </c>
      <c r="J580" s="12">
        <v>45935.307999999997</v>
      </c>
      <c r="K580" s="12"/>
      <c r="L580" s="12">
        <f t="shared" si="182"/>
        <v>45935.307999999997</v>
      </c>
      <c r="M580" s="12">
        <f t="shared" si="179"/>
        <v>1490.196528791565</v>
      </c>
      <c r="N580" s="12" t="e">
        <f t="shared" si="183"/>
        <v>#REF!</v>
      </c>
      <c r="O580" s="12" t="e">
        <f t="shared" si="184"/>
        <v>#REF!</v>
      </c>
      <c r="P580" s="12" t="e">
        <f t="shared" si="185"/>
        <v>#REF!</v>
      </c>
    </row>
    <row r="581" spans="1:16" ht="15.75" hidden="1" x14ac:dyDescent="0.25">
      <c r="A581" s="14">
        <v>11</v>
      </c>
      <c r="B581" s="14" t="s">
        <v>1826</v>
      </c>
      <c r="C581" s="8" t="s">
        <v>1129</v>
      </c>
      <c r="D581" s="28" t="s">
        <v>2149</v>
      </c>
      <c r="E581" s="12" t="s">
        <v>1382</v>
      </c>
      <c r="F581" s="1"/>
      <c r="G581" s="1">
        <v>20.640999999999998</v>
      </c>
      <c r="H581" s="1">
        <v>0.114</v>
      </c>
      <c r="I581" s="12">
        <f t="shared" si="181"/>
        <v>20.754999999999999</v>
      </c>
      <c r="J581" s="12">
        <f>59154.589-8089.468-21384.526</f>
        <v>29680.594999999998</v>
      </c>
      <c r="K581" s="12"/>
      <c r="L581" s="12">
        <f t="shared" si="182"/>
        <v>29680.594999999998</v>
      </c>
      <c r="M581" s="12">
        <f t="shared" si="179"/>
        <v>1430.0455311973019</v>
      </c>
      <c r="N581" s="12" t="e">
        <f t="shared" si="183"/>
        <v>#REF!</v>
      </c>
      <c r="O581" s="12" t="e">
        <f t="shared" si="184"/>
        <v>#REF!</v>
      </c>
      <c r="P581" s="12" t="e">
        <f t="shared" si="185"/>
        <v>#REF!</v>
      </c>
    </row>
    <row r="582" spans="1:16" ht="15.75" hidden="1" x14ac:dyDescent="0.25">
      <c r="A582" s="14">
        <v>11</v>
      </c>
      <c r="B582" s="14">
        <v>10</v>
      </c>
      <c r="C582" s="8" t="s">
        <v>1129</v>
      </c>
      <c r="D582" s="28" t="s">
        <v>2150</v>
      </c>
      <c r="E582" s="12" t="s">
        <v>1326</v>
      </c>
      <c r="F582" s="1"/>
      <c r="G582" s="1">
        <v>34.073999999999998</v>
      </c>
      <c r="H582" s="1">
        <v>0.126</v>
      </c>
      <c r="I582" s="12">
        <f t="shared" si="181"/>
        <v>34.199999999999996</v>
      </c>
      <c r="J582" s="12">
        <v>41066.267999999996</v>
      </c>
      <c r="K582" s="12"/>
      <c r="L582" s="12">
        <f t="shared" si="182"/>
        <v>41066.267999999996</v>
      </c>
      <c r="M582" s="12">
        <f t="shared" si="179"/>
        <v>1200.7680701754387</v>
      </c>
      <c r="N582" s="12" t="e">
        <f t="shared" si="183"/>
        <v>#REF!</v>
      </c>
      <c r="O582" s="12" t="e">
        <f t="shared" si="184"/>
        <v>#REF!</v>
      </c>
      <c r="P582" s="12" t="e">
        <f t="shared" si="185"/>
        <v>#REF!</v>
      </c>
    </row>
    <row r="583" spans="1:16" ht="15.75" hidden="1" x14ac:dyDescent="0.25">
      <c r="A583" s="14">
        <v>11</v>
      </c>
      <c r="B583" s="14">
        <v>11</v>
      </c>
      <c r="C583" s="8" t="s">
        <v>1129</v>
      </c>
      <c r="D583" s="28" t="s">
        <v>2151</v>
      </c>
      <c r="E583" s="12" t="s">
        <v>1383</v>
      </c>
      <c r="F583" s="1"/>
      <c r="G583" s="1">
        <v>22.736999999999998</v>
      </c>
      <c r="H583" s="1">
        <v>0.24399999999999999</v>
      </c>
      <c r="I583" s="12">
        <f t="shared" si="181"/>
        <v>22.980999999999998</v>
      </c>
      <c r="J583" s="12">
        <v>28373.439999999999</v>
      </c>
      <c r="K583" s="12">
        <f>2022.9*0.6</f>
        <v>1213.74</v>
      </c>
      <c r="L583" s="12">
        <f t="shared" si="182"/>
        <v>29587.18</v>
      </c>
      <c r="M583" s="12">
        <f t="shared" si="179"/>
        <v>1287.4626865671644</v>
      </c>
      <c r="N583" s="12" t="e">
        <f t="shared" si="183"/>
        <v>#REF!</v>
      </c>
      <c r="O583" s="12" t="e">
        <f t="shared" si="184"/>
        <v>#REF!</v>
      </c>
      <c r="P583" s="12" t="e">
        <f t="shared" si="185"/>
        <v>#REF!</v>
      </c>
    </row>
    <row r="584" spans="1:16" ht="15.75" hidden="1" x14ac:dyDescent="0.25">
      <c r="A584" s="14">
        <v>11</v>
      </c>
      <c r="B584" s="14">
        <v>12</v>
      </c>
      <c r="C584" s="8" t="s">
        <v>1129</v>
      </c>
      <c r="D584" s="28" t="s">
        <v>2152</v>
      </c>
      <c r="E584" s="12" t="s">
        <v>1384</v>
      </c>
      <c r="F584" s="1"/>
      <c r="G584" s="1">
        <v>19.971</v>
      </c>
      <c r="H584" s="1">
        <v>0.05</v>
      </c>
      <c r="I584" s="12">
        <f t="shared" si="181"/>
        <v>20.021000000000001</v>
      </c>
      <c r="J584" s="12">
        <f>58704.269-5307.663-19927.097-2781.509</f>
        <v>30688</v>
      </c>
      <c r="K584" s="12"/>
      <c r="L584" s="12">
        <f t="shared" si="182"/>
        <v>30688</v>
      </c>
      <c r="M584" s="12">
        <f t="shared" si="179"/>
        <v>1532.7905699016032</v>
      </c>
      <c r="N584" s="12" t="e">
        <f t="shared" si="183"/>
        <v>#REF!</v>
      </c>
      <c r="O584" s="12" t="e">
        <f t="shared" si="184"/>
        <v>#REF!</v>
      </c>
      <c r="P584" s="12" t="e">
        <f t="shared" si="185"/>
        <v>#REF!</v>
      </c>
    </row>
    <row r="585" spans="1:16" ht="15.75" hidden="1" x14ac:dyDescent="0.25">
      <c r="A585" s="14">
        <v>11</v>
      </c>
      <c r="B585" s="14">
        <v>13</v>
      </c>
      <c r="C585" s="8" t="s">
        <v>1129</v>
      </c>
      <c r="D585" s="28" t="s">
        <v>2153</v>
      </c>
      <c r="E585" s="12" t="s">
        <v>1385</v>
      </c>
      <c r="F585" s="1"/>
      <c r="G585" s="1">
        <v>9.9920000000000009</v>
      </c>
      <c r="H585" s="1">
        <v>1.4999999999999999E-2</v>
      </c>
      <c r="I585" s="12">
        <f t="shared" si="181"/>
        <v>10.007000000000001</v>
      </c>
      <c r="J585" s="12">
        <f>18070.82-8260.283</f>
        <v>9810.5370000000003</v>
      </c>
      <c r="K585" s="12"/>
      <c r="L585" s="12">
        <f t="shared" si="182"/>
        <v>9810.5370000000003</v>
      </c>
      <c r="M585" s="12">
        <f t="shared" si="179"/>
        <v>980.36744279004688</v>
      </c>
      <c r="N585" s="12" t="e">
        <f t="shared" si="183"/>
        <v>#REF!</v>
      </c>
      <c r="O585" s="12" t="e">
        <f t="shared" si="184"/>
        <v>#REF!</v>
      </c>
      <c r="P585" s="12" t="e">
        <f t="shared" si="185"/>
        <v>#REF!</v>
      </c>
    </row>
    <row r="586" spans="1:16" ht="15.75" hidden="1" x14ac:dyDescent="0.25">
      <c r="A586" s="14">
        <v>11</v>
      </c>
      <c r="B586" s="14">
        <v>14</v>
      </c>
      <c r="C586" s="8" t="s">
        <v>1129</v>
      </c>
      <c r="D586" s="28" t="s">
        <v>2154</v>
      </c>
      <c r="E586" s="12" t="s">
        <v>1386</v>
      </c>
      <c r="F586" s="1"/>
      <c r="G586" s="1">
        <v>19.096</v>
      </c>
      <c r="H586" s="1">
        <v>5.5E-2</v>
      </c>
      <c r="I586" s="12">
        <f t="shared" si="181"/>
        <v>19.151</v>
      </c>
      <c r="J586" s="12">
        <f>45132.668-16087.359</f>
        <v>29045.308999999997</v>
      </c>
      <c r="K586" s="12"/>
      <c r="L586" s="12">
        <f t="shared" si="182"/>
        <v>29045.308999999997</v>
      </c>
      <c r="M586" s="12">
        <f t="shared" si="179"/>
        <v>1516.6471202548169</v>
      </c>
      <c r="N586" s="12" t="e">
        <f t="shared" si="183"/>
        <v>#REF!</v>
      </c>
      <c r="O586" s="12" t="e">
        <f t="shared" si="184"/>
        <v>#REF!</v>
      </c>
      <c r="P586" s="12" t="e">
        <f t="shared" si="185"/>
        <v>#REF!</v>
      </c>
    </row>
    <row r="587" spans="1:16" ht="15.75" hidden="1" x14ac:dyDescent="0.25">
      <c r="A587" s="14">
        <v>11</v>
      </c>
      <c r="B587" s="14">
        <v>15</v>
      </c>
      <c r="C587" s="8" t="s">
        <v>1129</v>
      </c>
      <c r="D587" s="28" t="s">
        <v>2155</v>
      </c>
      <c r="E587" s="12" t="s">
        <v>1387</v>
      </c>
      <c r="F587" s="1"/>
      <c r="G587" s="1">
        <v>15.507</v>
      </c>
      <c r="H587" s="1">
        <v>6.6000000000000003E-2</v>
      </c>
      <c r="I587" s="12">
        <f t="shared" si="181"/>
        <v>15.573</v>
      </c>
      <c r="J587" s="12">
        <v>21207.759999999998</v>
      </c>
      <c r="K587" s="12"/>
      <c r="L587" s="12">
        <f t="shared" si="182"/>
        <v>21207.759999999998</v>
      </c>
      <c r="M587" s="12">
        <f t="shared" si="179"/>
        <v>1361.8288062672573</v>
      </c>
      <c r="N587" s="12" t="e">
        <f t="shared" si="183"/>
        <v>#REF!</v>
      </c>
      <c r="O587" s="12" t="e">
        <f t="shared" si="184"/>
        <v>#REF!</v>
      </c>
      <c r="P587" s="12" t="e">
        <f t="shared" si="185"/>
        <v>#REF!</v>
      </c>
    </row>
    <row r="588" spans="1:16" ht="15.75" hidden="1" x14ac:dyDescent="0.25">
      <c r="A588" s="14">
        <v>11</v>
      </c>
      <c r="B588" s="14">
        <v>16</v>
      </c>
      <c r="C588" s="8" t="s">
        <v>1129</v>
      </c>
      <c r="D588" s="28" t="s">
        <v>2156</v>
      </c>
      <c r="E588" s="12" t="s">
        <v>1388</v>
      </c>
      <c r="F588" s="1"/>
      <c r="G588" s="1">
        <v>24.535</v>
      </c>
      <c r="H588" s="1">
        <v>0.08</v>
      </c>
      <c r="I588" s="12">
        <f t="shared" si="181"/>
        <v>24.614999999999998</v>
      </c>
      <c r="J588" s="12">
        <v>28045.753000000001</v>
      </c>
      <c r="K588" s="12"/>
      <c r="L588" s="12">
        <f t="shared" si="182"/>
        <v>28045.753000000001</v>
      </c>
      <c r="M588" s="12">
        <f t="shared" si="179"/>
        <v>1139.3765183830999</v>
      </c>
      <c r="N588" s="12" t="e">
        <f t="shared" si="183"/>
        <v>#REF!</v>
      </c>
      <c r="O588" s="12" t="e">
        <f t="shared" si="184"/>
        <v>#REF!</v>
      </c>
      <c r="P588" s="12" t="e">
        <f t="shared" si="185"/>
        <v>#REF!</v>
      </c>
    </row>
    <row r="589" spans="1:16" ht="15.75" hidden="1" x14ac:dyDescent="0.25">
      <c r="A589" s="14">
        <v>11</v>
      </c>
      <c r="B589" s="14">
        <v>17</v>
      </c>
      <c r="C589" s="8" t="s">
        <v>1129</v>
      </c>
      <c r="D589" s="28" t="s">
        <v>2157</v>
      </c>
      <c r="E589" s="12" t="s">
        <v>1389</v>
      </c>
      <c r="F589" s="1"/>
      <c r="G589" s="1">
        <v>28.367999999999999</v>
      </c>
      <c r="H589" s="1">
        <v>0.253</v>
      </c>
      <c r="I589" s="12">
        <f t="shared" si="181"/>
        <v>28.620999999999999</v>
      </c>
      <c r="J589" s="12">
        <v>38676.218999999997</v>
      </c>
      <c r="K589" s="12"/>
      <c r="L589" s="12">
        <f t="shared" si="182"/>
        <v>38676.218999999997</v>
      </c>
      <c r="M589" s="12">
        <f t="shared" si="179"/>
        <v>1351.3231193878621</v>
      </c>
      <c r="N589" s="12" t="e">
        <f t="shared" si="183"/>
        <v>#REF!</v>
      </c>
      <c r="O589" s="12" t="e">
        <f t="shared" si="184"/>
        <v>#REF!</v>
      </c>
      <c r="P589" s="12" t="e">
        <f t="shared" si="185"/>
        <v>#REF!</v>
      </c>
    </row>
    <row r="590" spans="1:16" ht="15.75" hidden="1" x14ac:dyDescent="0.25">
      <c r="A590" s="14">
        <v>11</v>
      </c>
      <c r="B590" s="14">
        <v>18</v>
      </c>
      <c r="C590" s="8" t="s">
        <v>1129</v>
      </c>
      <c r="D590" s="28" t="s">
        <v>2158</v>
      </c>
      <c r="E590" s="12" t="s">
        <v>1390</v>
      </c>
      <c r="F590" s="1"/>
      <c r="G590" s="1">
        <v>19.353999999999999</v>
      </c>
      <c r="H590" s="1">
        <v>4.8000000000000001E-2</v>
      </c>
      <c r="I590" s="12">
        <f t="shared" si="181"/>
        <v>19.401999999999997</v>
      </c>
      <c r="J590" s="12">
        <f>30032.891-5196.602-1178.825</f>
        <v>23657.464</v>
      </c>
      <c r="K590" s="12"/>
      <c r="L590" s="12">
        <f t="shared" si="182"/>
        <v>23657.464</v>
      </c>
      <c r="M590" s="12">
        <f t="shared" si="179"/>
        <v>1219.3312029687663</v>
      </c>
      <c r="N590" s="12" t="e">
        <f t="shared" si="183"/>
        <v>#REF!</v>
      </c>
      <c r="O590" s="12" t="e">
        <f t="shared" si="184"/>
        <v>#REF!</v>
      </c>
      <c r="P590" s="12" t="e">
        <f t="shared" si="185"/>
        <v>#REF!</v>
      </c>
    </row>
    <row r="591" spans="1:16" ht="15.75" hidden="1" x14ac:dyDescent="0.25">
      <c r="A591" s="14">
        <v>11</v>
      </c>
      <c r="B591" s="14">
        <v>19</v>
      </c>
      <c r="C591" s="8" t="s">
        <v>1129</v>
      </c>
      <c r="D591" s="28" t="s">
        <v>2159</v>
      </c>
      <c r="E591" s="12" t="s">
        <v>1244</v>
      </c>
      <c r="F591" s="1"/>
      <c r="G591" s="1">
        <v>27.122</v>
      </c>
      <c r="H591" s="1">
        <v>0.47599999999999998</v>
      </c>
      <c r="I591" s="12">
        <f t="shared" si="181"/>
        <v>27.597999999999999</v>
      </c>
      <c r="J591" s="12">
        <v>41974.097000000002</v>
      </c>
      <c r="K591" s="12"/>
      <c r="L591" s="12">
        <f t="shared" si="182"/>
        <v>41974.097000000002</v>
      </c>
      <c r="M591" s="12">
        <f t="shared" si="179"/>
        <v>1520.9108268715127</v>
      </c>
      <c r="N591" s="12" t="e">
        <f t="shared" si="183"/>
        <v>#REF!</v>
      </c>
      <c r="O591" s="12" t="e">
        <f t="shared" si="184"/>
        <v>#REF!</v>
      </c>
      <c r="P591" s="12" t="e">
        <f t="shared" si="185"/>
        <v>#REF!</v>
      </c>
    </row>
    <row r="592" spans="1:16" ht="15.75" hidden="1" x14ac:dyDescent="0.25">
      <c r="A592" s="14">
        <v>11</v>
      </c>
      <c r="B592" s="14">
        <v>20</v>
      </c>
      <c r="C592" s="8" t="s">
        <v>1129</v>
      </c>
      <c r="D592" s="28" t="s">
        <v>2160</v>
      </c>
      <c r="E592" s="12" t="s">
        <v>1391</v>
      </c>
      <c r="F592" s="1"/>
      <c r="G592" s="1">
        <v>35.231000000000002</v>
      </c>
      <c r="H592" s="1">
        <v>0.13100000000000001</v>
      </c>
      <c r="I592" s="12">
        <f t="shared" si="181"/>
        <v>35.362000000000002</v>
      </c>
      <c r="J592" s="12">
        <v>47826.512000000002</v>
      </c>
      <c r="K592" s="12">
        <v>-536</v>
      </c>
      <c r="L592" s="12">
        <f t="shared" si="182"/>
        <v>47290.512000000002</v>
      </c>
      <c r="M592" s="12">
        <f t="shared" si="179"/>
        <v>1337.3257168712178</v>
      </c>
      <c r="N592" s="12" t="e">
        <f t="shared" si="183"/>
        <v>#REF!</v>
      </c>
      <c r="O592" s="12" t="e">
        <f t="shared" si="184"/>
        <v>#REF!</v>
      </c>
      <c r="P592" s="12" t="e">
        <f t="shared" si="185"/>
        <v>#REF!</v>
      </c>
    </row>
    <row r="593" spans="1:16" ht="15.75" hidden="1" x14ac:dyDescent="0.25">
      <c r="A593" s="14">
        <v>11</v>
      </c>
      <c r="B593" s="14">
        <v>21</v>
      </c>
      <c r="C593" s="8" t="s">
        <v>1129</v>
      </c>
      <c r="D593" s="28" t="s">
        <v>2161</v>
      </c>
      <c r="E593" s="12" t="s">
        <v>1392</v>
      </c>
      <c r="F593" s="1"/>
      <c r="G593" s="1">
        <v>18.175000000000001</v>
      </c>
      <c r="H593" s="1">
        <v>9.9000000000000005E-2</v>
      </c>
      <c r="I593" s="12">
        <f t="shared" si="181"/>
        <v>18.274000000000001</v>
      </c>
      <c r="J593" s="12">
        <v>19251.613000000001</v>
      </c>
      <c r="K593" s="12"/>
      <c r="L593" s="12">
        <f t="shared" si="182"/>
        <v>19251.613000000001</v>
      </c>
      <c r="M593" s="12">
        <f t="shared" si="179"/>
        <v>1053.4974827623946</v>
      </c>
      <c r="N593" s="12" t="e">
        <f t="shared" si="183"/>
        <v>#REF!</v>
      </c>
      <c r="O593" s="12" t="e">
        <f t="shared" si="184"/>
        <v>#REF!</v>
      </c>
      <c r="P593" s="12" t="e">
        <f t="shared" si="185"/>
        <v>#REF!</v>
      </c>
    </row>
    <row r="594" spans="1:16" ht="15.75" hidden="1" x14ac:dyDescent="0.25">
      <c r="A594" s="14">
        <v>11</v>
      </c>
      <c r="B594" s="14">
        <v>22</v>
      </c>
      <c r="C594" s="8" t="s">
        <v>1129</v>
      </c>
      <c r="D594" s="28" t="s">
        <v>2162</v>
      </c>
      <c r="E594" s="12" t="s">
        <v>1393</v>
      </c>
      <c r="F594" s="1"/>
      <c r="G594" s="1">
        <v>24.045000000000002</v>
      </c>
      <c r="H594" s="1">
        <v>7.3999999999999996E-2</v>
      </c>
      <c r="I594" s="12">
        <f t="shared" si="181"/>
        <v>24.119000000000003</v>
      </c>
      <c r="J594" s="12">
        <v>40520.71</v>
      </c>
      <c r="K594" s="12"/>
      <c r="L594" s="12">
        <f t="shared" si="182"/>
        <v>40520.71</v>
      </c>
      <c r="M594" s="12">
        <f t="shared" si="179"/>
        <v>1680.0327542601267</v>
      </c>
      <c r="N594" s="12" t="e">
        <f t="shared" si="183"/>
        <v>#REF!</v>
      </c>
      <c r="O594" s="12" t="e">
        <f t="shared" si="184"/>
        <v>#REF!</v>
      </c>
      <c r="P594" s="12" t="e">
        <f t="shared" si="185"/>
        <v>#REF!</v>
      </c>
    </row>
    <row r="595" spans="1:16" ht="15.75" hidden="1" x14ac:dyDescent="0.25">
      <c r="A595" s="14">
        <v>11</v>
      </c>
      <c r="B595" s="14">
        <v>23</v>
      </c>
      <c r="C595" s="8" t="s">
        <v>1129</v>
      </c>
      <c r="D595" s="28" t="s">
        <v>2163</v>
      </c>
      <c r="E595" s="12" t="s">
        <v>1394</v>
      </c>
      <c r="F595" s="1"/>
      <c r="G595" s="1">
        <v>9.0719999999999992</v>
      </c>
      <c r="H595" s="1">
        <v>0.13500000000000001</v>
      </c>
      <c r="I595" s="12">
        <f t="shared" si="181"/>
        <v>9.206999999999999</v>
      </c>
      <c r="J595" s="12">
        <v>13691.513000000001</v>
      </c>
      <c r="K595" s="12">
        <f>3505.8</f>
        <v>3505.8</v>
      </c>
      <c r="L595" s="12">
        <f t="shared" si="182"/>
        <v>17197.313000000002</v>
      </c>
      <c r="M595" s="12">
        <f t="shared" si="179"/>
        <v>1867.8519604648641</v>
      </c>
      <c r="N595" s="12" t="e">
        <f t="shared" si="183"/>
        <v>#REF!</v>
      </c>
      <c r="O595" s="12" t="e">
        <f t="shared" si="184"/>
        <v>#REF!</v>
      </c>
      <c r="P595" s="12" t="e">
        <f t="shared" si="185"/>
        <v>#REF!</v>
      </c>
    </row>
    <row r="596" spans="1:16" ht="15.75" hidden="1" x14ac:dyDescent="0.25">
      <c r="A596" s="14">
        <v>11</v>
      </c>
      <c r="B596" s="14">
        <v>24</v>
      </c>
      <c r="C596" s="8" t="s">
        <v>1129</v>
      </c>
      <c r="D596" s="28" t="s">
        <v>2164</v>
      </c>
      <c r="E596" s="12" t="s">
        <v>765</v>
      </c>
      <c r="F596" s="1"/>
      <c r="G596" s="1">
        <v>22.632999999999999</v>
      </c>
      <c r="H596" s="1">
        <v>0.188</v>
      </c>
      <c r="I596" s="12">
        <f t="shared" si="181"/>
        <v>22.820999999999998</v>
      </c>
      <c r="J596" s="12">
        <v>17481.920999999998</v>
      </c>
      <c r="K596" s="12"/>
      <c r="L596" s="12">
        <f t="shared" si="182"/>
        <v>17481.920999999998</v>
      </c>
      <c r="M596" s="12">
        <f t="shared" si="179"/>
        <v>766.04535296437496</v>
      </c>
      <c r="N596" s="12" t="e">
        <f t="shared" si="183"/>
        <v>#REF!</v>
      </c>
      <c r="O596" s="12" t="e">
        <f t="shared" si="184"/>
        <v>#REF!</v>
      </c>
      <c r="P596" s="12" t="e">
        <f t="shared" si="185"/>
        <v>#REF!</v>
      </c>
    </row>
    <row r="597" spans="1:16" ht="15.75" hidden="1" x14ac:dyDescent="0.25">
      <c r="A597" s="14">
        <v>11</v>
      </c>
      <c r="B597" s="14">
        <v>25</v>
      </c>
      <c r="C597" s="8" t="s">
        <v>1129</v>
      </c>
      <c r="D597" s="28" t="s">
        <v>2165</v>
      </c>
      <c r="E597" s="12" t="s">
        <v>1395</v>
      </c>
      <c r="F597" s="1"/>
      <c r="G597" s="1">
        <v>13.022</v>
      </c>
      <c r="H597" s="1">
        <v>4.9000000000000002E-2</v>
      </c>
      <c r="I597" s="12">
        <f t="shared" si="181"/>
        <v>13.071</v>
      </c>
      <c r="J597" s="12">
        <v>18784.662</v>
      </c>
      <c r="K597" s="12"/>
      <c r="L597" s="12">
        <f t="shared" si="182"/>
        <v>18784.662</v>
      </c>
      <c r="M597" s="12">
        <f t="shared" si="179"/>
        <v>1437.1250860683958</v>
      </c>
      <c r="N597" s="12" t="e">
        <f t="shared" si="183"/>
        <v>#REF!</v>
      </c>
      <c r="O597" s="12" t="e">
        <f t="shared" si="184"/>
        <v>#REF!</v>
      </c>
      <c r="P597" s="12" t="e">
        <f t="shared" si="185"/>
        <v>#REF!</v>
      </c>
    </row>
    <row r="598" spans="1:16" ht="15.75" hidden="1" x14ac:dyDescent="0.25">
      <c r="A598" s="15">
        <v>11</v>
      </c>
      <c r="B598" s="15" t="s">
        <v>1126</v>
      </c>
      <c r="C598" s="10" t="s">
        <v>1743</v>
      </c>
      <c r="D598" s="29"/>
      <c r="E598" s="37" t="s">
        <v>1747</v>
      </c>
      <c r="F598" s="6"/>
      <c r="G598" s="37">
        <f t="shared" ref="G598:L598" si="186">SUM(G599:G611)</f>
        <v>96.849000000000004</v>
      </c>
      <c r="H598" s="37">
        <f t="shared" si="186"/>
        <v>0.45100000000000007</v>
      </c>
      <c r="I598" s="37">
        <f t="shared" si="186"/>
        <v>97.300000000000011</v>
      </c>
      <c r="J598" s="37">
        <f t="shared" si="186"/>
        <v>159777.75699999998</v>
      </c>
      <c r="K598" s="37">
        <f t="shared" si="186"/>
        <v>0</v>
      </c>
      <c r="L598" s="37">
        <f t="shared" si="186"/>
        <v>159777.75699999998</v>
      </c>
      <c r="M598" s="37">
        <f t="shared" si="179"/>
        <v>1642.1146659815001</v>
      </c>
      <c r="N598" s="37" t="e">
        <f>M598/$M$1429</f>
        <v>#REF!</v>
      </c>
      <c r="O598" s="37" t="e">
        <f>SUM(O599:O611)</f>
        <v>#REF!</v>
      </c>
      <c r="P598" s="37" t="e">
        <f>SUM(P599:P611)</f>
        <v>#REF!</v>
      </c>
    </row>
    <row r="599" spans="1:16" ht="15.75" hidden="1" x14ac:dyDescent="0.25">
      <c r="A599" s="14">
        <v>11</v>
      </c>
      <c r="B599" s="14">
        <v>26</v>
      </c>
      <c r="C599" s="8" t="s">
        <v>1744</v>
      </c>
      <c r="D599" s="28" t="s">
        <v>2166</v>
      </c>
      <c r="E599" s="12" t="s">
        <v>1758</v>
      </c>
      <c r="F599" s="1"/>
      <c r="G599" s="1">
        <v>11.739000000000001</v>
      </c>
      <c r="H599" s="1">
        <v>6.4000000000000001E-2</v>
      </c>
      <c r="I599" s="12">
        <f t="shared" ref="I599:I611" si="187">H599+G599</f>
        <v>11.803000000000001</v>
      </c>
      <c r="J599" s="12">
        <v>13513.429</v>
      </c>
      <c r="K599" s="12"/>
      <c r="L599" s="12">
        <f t="shared" ref="L599:L611" si="188">J599+K599</f>
        <v>13513.429</v>
      </c>
      <c r="M599" s="12">
        <f t="shared" si="179"/>
        <v>1144.9147674320088</v>
      </c>
      <c r="N599" s="12" t="e">
        <f t="shared" ref="N599:N611" si="189">M599/$M$1433</f>
        <v>#REF!</v>
      </c>
      <c r="O599" s="12" t="e">
        <f t="shared" ref="O599:O611" si="190">ROUND(IF(N599&lt;110%,0,(M599-$M$1433*1.1)*0.8)*I599,1)</f>
        <v>#REF!</v>
      </c>
      <c r="P599" s="12" t="e">
        <f t="shared" ref="P599:P611" si="191">ROUND(IF(N599&gt;90%,0,(-M599+$M$1433*0.9)*0.8)*I599,1)</f>
        <v>#REF!</v>
      </c>
    </row>
    <row r="600" spans="1:16" ht="15.75" hidden="1" x14ac:dyDescent="0.25">
      <c r="A600" s="14">
        <v>11</v>
      </c>
      <c r="B600" s="14">
        <v>27</v>
      </c>
      <c r="C600" s="8" t="s">
        <v>1744</v>
      </c>
      <c r="D600" s="28" t="s">
        <v>2617</v>
      </c>
      <c r="E600" s="12" t="s">
        <v>2618</v>
      </c>
      <c r="F600" s="3"/>
      <c r="G600" s="3">
        <v>13.606999999999999</v>
      </c>
      <c r="H600" s="3">
        <v>7.9000000000000001E-2</v>
      </c>
      <c r="I600" s="12">
        <f t="shared" si="187"/>
        <v>13.686</v>
      </c>
      <c r="J600" s="12">
        <v>16256.565000000001</v>
      </c>
      <c r="K600" s="12"/>
      <c r="L600" s="12">
        <f t="shared" si="188"/>
        <v>16256.565000000001</v>
      </c>
      <c r="M600" s="12">
        <f t="shared" si="179"/>
        <v>1187.8244191144236</v>
      </c>
      <c r="N600" s="12" t="e">
        <f t="shared" si="189"/>
        <v>#REF!</v>
      </c>
      <c r="O600" s="12" t="e">
        <f t="shared" si="190"/>
        <v>#REF!</v>
      </c>
      <c r="P600" s="12" t="e">
        <f t="shared" si="191"/>
        <v>#REF!</v>
      </c>
    </row>
    <row r="601" spans="1:16" ht="15.75" hidden="1" x14ac:dyDescent="0.25">
      <c r="A601" s="14">
        <v>11</v>
      </c>
      <c r="B601" s="14">
        <v>28</v>
      </c>
      <c r="C601" s="19" t="s">
        <v>1744</v>
      </c>
      <c r="D601" s="31" t="s">
        <v>95</v>
      </c>
      <c r="E601" s="12" t="s">
        <v>96</v>
      </c>
      <c r="F601" s="3"/>
      <c r="G601" s="3">
        <v>19.370999999999999</v>
      </c>
      <c r="H601" s="3">
        <v>8.6999999999999994E-2</v>
      </c>
      <c r="I601" s="12">
        <f t="shared" si="187"/>
        <v>19.457999999999998</v>
      </c>
      <c r="J601" s="12">
        <v>27262.69</v>
      </c>
      <c r="K601" s="12"/>
      <c r="L601" s="12">
        <f t="shared" si="188"/>
        <v>27262.69</v>
      </c>
      <c r="M601" s="12">
        <f t="shared" si="179"/>
        <v>1401.1044300544763</v>
      </c>
      <c r="N601" s="12" t="e">
        <f t="shared" si="189"/>
        <v>#REF!</v>
      </c>
      <c r="O601" s="12" t="e">
        <f t="shared" si="190"/>
        <v>#REF!</v>
      </c>
      <c r="P601" s="12" t="e">
        <f t="shared" si="191"/>
        <v>#REF!</v>
      </c>
    </row>
    <row r="602" spans="1:16" ht="15.75" hidden="1" x14ac:dyDescent="0.25">
      <c r="A602" s="14">
        <v>11</v>
      </c>
      <c r="B602" s="14">
        <v>29</v>
      </c>
      <c r="C602" s="19" t="s">
        <v>1744</v>
      </c>
      <c r="D602" s="31" t="s">
        <v>313</v>
      </c>
      <c r="E602" s="12" t="s">
        <v>314</v>
      </c>
      <c r="F602" s="3"/>
      <c r="G602" s="3">
        <v>3.1720000000000002</v>
      </c>
      <c r="H602" s="3">
        <v>2.8000000000000001E-2</v>
      </c>
      <c r="I602" s="12">
        <f t="shared" si="187"/>
        <v>3.2</v>
      </c>
      <c r="J602" s="12">
        <v>2565.9929999999999</v>
      </c>
      <c r="K602" s="12"/>
      <c r="L602" s="12">
        <f t="shared" si="188"/>
        <v>2565.9929999999999</v>
      </c>
      <c r="M602" s="12">
        <f t="shared" si="179"/>
        <v>801.8728124999999</v>
      </c>
      <c r="N602" s="12" t="e">
        <f t="shared" si="189"/>
        <v>#REF!</v>
      </c>
      <c r="O602" s="12" t="e">
        <f t="shared" si="190"/>
        <v>#REF!</v>
      </c>
      <c r="P602" s="12" t="e">
        <f t="shared" si="191"/>
        <v>#REF!</v>
      </c>
    </row>
    <row r="603" spans="1:16" ht="15.75" hidden="1" x14ac:dyDescent="0.25">
      <c r="A603" s="14">
        <v>11</v>
      </c>
      <c r="B603" s="14">
        <v>30</v>
      </c>
      <c r="C603" s="19" t="s">
        <v>1744</v>
      </c>
      <c r="D603" s="31" t="s">
        <v>315</v>
      </c>
      <c r="E603" s="12" t="s">
        <v>316</v>
      </c>
      <c r="F603" s="3"/>
      <c r="G603" s="3">
        <v>6.0570000000000004</v>
      </c>
      <c r="H603" s="3">
        <v>1.2E-2</v>
      </c>
      <c r="I603" s="12">
        <f t="shared" si="187"/>
        <v>6.069</v>
      </c>
      <c r="J603" s="12">
        <v>11965.748</v>
      </c>
      <c r="K603" s="12"/>
      <c r="L603" s="12">
        <f t="shared" si="188"/>
        <v>11965.748</v>
      </c>
      <c r="M603" s="12">
        <f t="shared" si="179"/>
        <v>1971.6177294447191</v>
      </c>
      <c r="N603" s="12" t="e">
        <f t="shared" si="189"/>
        <v>#REF!</v>
      </c>
      <c r="O603" s="12" t="e">
        <f t="shared" si="190"/>
        <v>#REF!</v>
      </c>
      <c r="P603" s="12" t="e">
        <f t="shared" si="191"/>
        <v>#REF!</v>
      </c>
    </row>
    <row r="604" spans="1:16" ht="15.75" hidden="1" x14ac:dyDescent="0.25">
      <c r="A604" s="14">
        <v>11</v>
      </c>
      <c r="B604" s="14">
        <v>31</v>
      </c>
      <c r="C604" s="19" t="s">
        <v>1744</v>
      </c>
      <c r="D604" s="31" t="s">
        <v>539</v>
      </c>
      <c r="E604" s="38" t="s">
        <v>541</v>
      </c>
      <c r="F604" s="38"/>
      <c r="G604" s="38">
        <v>1.7689999999999999</v>
      </c>
      <c r="H604" s="38">
        <v>1.2999999999999999E-2</v>
      </c>
      <c r="I604" s="12">
        <f t="shared" si="187"/>
        <v>1.7819999999999998</v>
      </c>
      <c r="J604" s="38">
        <v>5196.6019999999999</v>
      </c>
      <c r="K604" s="38"/>
      <c r="L604" s="38">
        <f t="shared" si="188"/>
        <v>5196.6019999999999</v>
      </c>
      <c r="M604" s="38">
        <f t="shared" si="179"/>
        <v>2916.1627384960721</v>
      </c>
      <c r="N604" s="12" t="e">
        <f t="shared" si="189"/>
        <v>#REF!</v>
      </c>
      <c r="O604" s="12" t="e">
        <f t="shared" si="190"/>
        <v>#REF!</v>
      </c>
      <c r="P604" s="12" t="e">
        <f t="shared" si="191"/>
        <v>#REF!</v>
      </c>
    </row>
    <row r="605" spans="1:16" ht="15.75" hidden="1" x14ac:dyDescent="0.25">
      <c r="A605" s="14">
        <v>11</v>
      </c>
      <c r="B605" s="14">
        <v>32</v>
      </c>
      <c r="C605" s="19" t="s">
        <v>1744</v>
      </c>
      <c r="D605" s="31" t="s">
        <v>540</v>
      </c>
      <c r="E605" s="42" t="s">
        <v>766</v>
      </c>
      <c r="F605" s="44"/>
      <c r="G605" s="44">
        <v>3.5470000000000002</v>
      </c>
      <c r="H605" s="44">
        <v>1.2999999999999999E-2</v>
      </c>
      <c r="I605" s="12">
        <f t="shared" si="187"/>
        <v>3.56</v>
      </c>
      <c r="J605" s="42">
        <v>2781.509</v>
      </c>
      <c r="K605" s="42"/>
      <c r="L605" s="42">
        <f t="shared" si="188"/>
        <v>2781.509</v>
      </c>
      <c r="M605" s="42">
        <f t="shared" si="179"/>
        <v>781.32275280898875</v>
      </c>
      <c r="N605" s="12" t="e">
        <f t="shared" si="189"/>
        <v>#REF!</v>
      </c>
      <c r="O605" s="12" t="e">
        <f t="shared" si="190"/>
        <v>#REF!</v>
      </c>
      <c r="P605" s="12" t="e">
        <f t="shared" si="191"/>
        <v>#REF!</v>
      </c>
    </row>
    <row r="606" spans="1:16" ht="15.75" hidden="1" x14ac:dyDescent="0.25">
      <c r="A606" s="49">
        <v>11</v>
      </c>
      <c r="B606" s="49">
        <v>33</v>
      </c>
      <c r="C606" s="54" t="s">
        <v>1744</v>
      </c>
      <c r="D606" s="55" t="s">
        <v>767</v>
      </c>
      <c r="E606" s="52" t="s">
        <v>768</v>
      </c>
      <c r="F606" s="60"/>
      <c r="G606" s="60">
        <v>4.0910000000000002</v>
      </c>
      <c r="H606" s="60">
        <v>2.4E-2</v>
      </c>
      <c r="I606" s="12">
        <f t="shared" si="187"/>
        <v>4.1150000000000002</v>
      </c>
      <c r="J606" s="52">
        <v>8089.4679999999998</v>
      </c>
      <c r="K606" s="52"/>
      <c r="L606" s="52">
        <f t="shared" si="188"/>
        <v>8089.4679999999998</v>
      </c>
      <c r="M606" s="52">
        <f t="shared" si="179"/>
        <v>1965.8488456865127</v>
      </c>
      <c r="N606" s="12" t="e">
        <f t="shared" si="189"/>
        <v>#REF!</v>
      </c>
      <c r="O606" s="12" t="e">
        <f t="shared" si="190"/>
        <v>#REF!</v>
      </c>
      <c r="P606" s="12" t="e">
        <f t="shared" si="191"/>
        <v>#REF!</v>
      </c>
    </row>
    <row r="607" spans="1:16" ht="15.75" hidden="1" x14ac:dyDescent="0.25">
      <c r="A607" s="49">
        <v>11</v>
      </c>
      <c r="B607" s="49">
        <v>34</v>
      </c>
      <c r="C607" s="54" t="s">
        <v>1744</v>
      </c>
      <c r="D607" s="55" t="s">
        <v>769</v>
      </c>
      <c r="E607" s="52" t="s">
        <v>770</v>
      </c>
      <c r="F607" s="60"/>
      <c r="G607" s="60">
        <v>3.2149999999999999</v>
      </c>
      <c r="H607" s="60">
        <v>6.0000000000000001E-3</v>
      </c>
      <c r="I607" s="12">
        <f t="shared" si="187"/>
        <v>3.2209999999999996</v>
      </c>
      <c r="J607" s="52">
        <v>5307.6629999999996</v>
      </c>
      <c r="K607" s="52"/>
      <c r="L607" s="52">
        <f t="shared" si="188"/>
        <v>5307.6629999999996</v>
      </c>
      <c r="M607" s="52">
        <f t="shared" si="179"/>
        <v>1647.8307978888545</v>
      </c>
      <c r="N607" s="12" t="e">
        <f t="shared" si="189"/>
        <v>#REF!</v>
      </c>
      <c r="O607" s="12" t="e">
        <f t="shared" si="190"/>
        <v>#REF!</v>
      </c>
      <c r="P607" s="12" t="e">
        <f t="shared" si="191"/>
        <v>#REF!</v>
      </c>
    </row>
    <row r="608" spans="1:16" ht="15.75" hidden="1" x14ac:dyDescent="0.25">
      <c r="A608" s="49">
        <v>11</v>
      </c>
      <c r="B608" s="49">
        <v>35</v>
      </c>
      <c r="C608" s="54" t="s">
        <v>1744</v>
      </c>
      <c r="D608" s="55" t="s">
        <v>771</v>
      </c>
      <c r="E608" s="52" t="s">
        <v>772</v>
      </c>
      <c r="F608" s="60"/>
      <c r="G608" s="60">
        <v>4.2809999999999997</v>
      </c>
      <c r="H608" s="60">
        <v>8.9999999999999993E-3</v>
      </c>
      <c r="I608" s="12">
        <f t="shared" si="187"/>
        <v>4.29</v>
      </c>
      <c r="J608" s="52">
        <v>19927.097000000002</v>
      </c>
      <c r="K608" s="52"/>
      <c r="L608" s="52">
        <f t="shared" si="188"/>
        <v>19927.097000000002</v>
      </c>
      <c r="M608" s="52">
        <f t="shared" si="179"/>
        <v>4645.0109557109563</v>
      </c>
      <c r="N608" s="12" t="e">
        <f t="shared" si="189"/>
        <v>#REF!</v>
      </c>
      <c r="O608" s="12" t="e">
        <f t="shared" si="190"/>
        <v>#REF!</v>
      </c>
      <c r="P608" s="12" t="e">
        <f t="shared" si="191"/>
        <v>#REF!</v>
      </c>
    </row>
    <row r="609" spans="1:16" ht="15.75" hidden="1" x14ac:dyDescent="0.25">
      <c r="A609" s="49">
        <v>11</v>
      </c>
      <c r="B609" s="49">
        <v>36</v>
      </c>
      <c r="C609" s="54" t="s">
        <v>1744</v>
      </c>
      <c r="D609" s="55" t="s">
        <v>773</v>
      </c>
      <c r="E609" s="52" t="s">
        <v>774</v>
      </c>
      <c r="F609" s="60"/>
      <c r="G609" s="60">
        <v>5.375</v>
      </c>
      <c r="H609" s="60">
        <v>2.1999999999999999E-2</v>
      </c>
      <c r="I609" s="12">
        <f t="shared" si="187"/>
        <v>5.3970000000000002</v>
      </c>
      <c r="J609" s="52">
        <v>8260.2829999999994</v>
      </c>
      <c r="K609" s="52"/>
      <c r="L609" s="52">
        <f t="shared" si="188"/>
        <v>8260.2829999999994</v>
      </c>
      <c r="M609" s="52">
        <f t="shared" si="179"/>
        <v>1530.5323327774688</v>
      </c>
      <c r="N609" s="12" t="e">
        <f t="shared" si="189"/>
        <v>#REF!</v>
      </c>
      <c r="O609" s="12" t="e">
        <f t="shared" si="190"/>
        <v>#REF!</v>
      </c>
      <c r="P609" s="12" t="e">
        <f t="shared" si="191"/>
        <v>#REF!</v>
      </c>
    </row>
    <row r="610" spans="1:16" ht="15.75" hidden="1" x14ac:dyDescent="0.25">
      <c r="A610" s="49">
        <v>11</v>
      </c>
      <c r="B610" s="49">
        <v>37</v>
      </c>
      <c r="C610" s="54" t="s">
        <v>1744</v>
      </c>
      <c r="D610" s="55" t="s">
        <v>775</v>
      </c>
      <c r="E610" s="52" t="s">
        <v>776</v>
      </c>
      <c r="F610" s="60"/>
      <c r="G610" s="60">
        <v>10.369</v>
      </c>
      <c r="H610" s="60">
        <v>3.9E-2</v>
      </c>
      <c r="I610" s="12">
        <f t="shared" si="187"/>
        <v>10.407999999999999</v>
      </c>
      <c r="J610" s="52">
        <v>16087.359</v>
      </c>
      <c r="K610" s="52"/>
      <c r="L610" s="52">
        <f t="shared" si="188"/>
        <v>16087.359</v>
      </c>
      <c r="M610" s="52">
        <f t="shared" si="179"/>
        <v>1545.6724634896234</v>
      </c>
      <c r="N610" s="12" t="e">
        <f t="shared" si="189"/>
        <v>#REF!</v>
      </c>
      <c r="O610" s="12" t="e">
        <f t="shared" si="190"/>
        <v>#REF!</v>
      </c>
      <c r="P610" s="12" t="e">
        <f t="shared" si="191"/>
        <v>#REF!</v>
      </c>
    </row>
    <row r="611" spans="1:16" ht="31.5" hidden="1" x14ac:dyDescent="0.25">
      <c r="A611" s="49">
        <v>11</v>
      </c>
      <c r="B611" s="49">
        <v>38</v>
      </c>
      <c r="C611" s="54" t="s">
        <v>1744</v>
      </c>
      <c r="D611" s="55" t="s">
        <v>777</v>
      </c>
      <c r="E611" s="52" t="s">
        <v>778</v>
      </c>
      <c r="F611" s="60"/>
      <c r="G611" s="60">
        <v>10.256</v>
      </c>
      <c r="H611" s="60">
        <v>5.5E-2</v>
      </c>
      <c r="I611" s="12">
        <f t="shared" si="187"/>
        <v>10.311</v>
      </c>
      <c r="J611" s="52">
        <f>21384.526+1178.825</f>
        <v>22563.351000000002</v>
      </c>
      <c r="K611" s="52"/>
      <c r="L611" s="52">
        <f t="shared" si="188"/>
        <v>22563.351000000002</v>
      </c>
      <c r="M611" s="52">
        <f t="shared" si="179"/>
        <v>2188.2796043060812</v>
      </c>
      <c r="N611" s="12" t="e">
        <f t="shared" si="189"/>
        <v>#REF!</v>
      </c>
      <c r="O611" s="12" t="e">
        <f t="shared" si="190"/>
        <v>#REF!</v>
      </c>
      <c r="P611" s="12" t="e">
        <f t="shared" si="191"/>
        <v>#REF!</v>
      </c>
    </row>
    <row r="612" spans="1:16" s="75" customFormat="1" ht="15.75" hidden="1" x14ac:dyDescent="0.25">
      <c r="A612" s="72">
        <v>12</v>
      </c>
      <c r="B612" s="72" t="s">
        <v>1126</v>
      </c>
      <c r="C612" s="73" t="s">
        <v>1161</v>
      </c>
      <c r="D612" s="74"/>
      <c r="E612" s="71" t="s">
        <v>1423</v>
      </c>
      <c r="F612" s="76"/>
      <c r="G612" s="71">
        <f t="shared" ref="G612:L612" si="192">G613+G614+G629+G647</f>
        <v>703.79600000000005</v>
      </c>
      <c r="H612" s="71">
        <f t="shared" si="192"/>
        <v>277.87</v>
      </c>
      <c r="I612" s="71">
        <f t="shared" si="192"/>
        <v>981.66599999999994</v>
      </c>
      <c r="J612" s="71">
        <f t="shared" si="192"/>
        <v>982720.90700000001</v>
      </c>
      <c r="K612" s="71">
        <f t="shared" si="192"/>
        <v>0</v>
      </c>
      <c r="L612" s="71">
        <f t="shared" si="192"/>
        <v>982720.90700000001</v>
      </c>
      <c r="M612" s="71">
        <f>L612/I612</f>
        <v>1001.0746088791911</v>
      </c>
      <c r="N612" s="71" t="e">
        <f>M612/$M$1429</f>
        <v>#REF!</v>
      </c>
      <c r="O612" s="71" t="e">
        <f>O613+O614+O629+O647</f>
        <v>#REF!</v>
      </c>
      <c r="P612" s="71" t="e">
        <f>P613+P614+P629+P647</f>
        <v>#REF!</v>
      </c>
    </row>
    <row r="613" spans="1:16" ht="15.75" hidden="1" x14ac:dyDescent="0.25">
      <c r="A613" s="14">
        <v>12</v>
      </c>
      <c r="B613" s="14"/>
      <c r="C613" s="8" t="s">
        <v>1159</v>
      </c>
      <c r="D613" s="28" t="s">
        <v>2167</v>
      </c>
      <c r="E613" s="12" t="s">
        <v>1160</v>
      </c>
      <c r="F613" s="1"/>
      <c r="G613" s="1">
        <v>0</v>
      </c>
      <c r="H613" s="1">
        <v>0</v>
      </c>
      <c r="I613" s="12">
        <f>H613+G613</f>
        <v>0</v>
      </c>
      <c r="J613" s="12"/>
      <c r="K613" s="12"/>
      <c r="L613" s="12"/>
      <c r="M613" s="12"/>
      <c r="N613" s="12"/>
      <c r="O613" s="12"/>
      <c r="P613" s="12"/>
    </row>
    <row r="614" spans="1:16" ht="15.75" hidden="1" x14ac:dyDescent="0.25">
      <c r="A614" s="15">
        <v>12</v>
      </c>
      <c r="B614" s="15" t="s">
        <v>1126</v>
      </c>
      <c r="C614" s="10" t="s">
        <v>1127</v>
      </c>
      <c r="D614" s="29"/>
      <c r="E614" s="37" t="s">
        <v>1406</v>
      </c>
      <c r="F614" s="6"/>
      <c r="G614" s="37">
        <f t="shared" ref="G614:L614" si="193">SUM(G615:G628)</f>
        <v>289.54700000000003</v>
      </c>
      <c r="H614" s="37">
        <f>SUM(H615:H628)</f>
        <v>79.483000000000004</v>
      </c>
      <c r="I614" s="37">
        <f t="shared" si="193"/>
        <v>369.03000000000003</v>
      </c>
      <c r="J614" s="37">
        <f t="shared" si="193"/>
        <v>511382.26599999995</v>
      </c>
      <c r="K614" s="37">
        <f t="shared" si="193"/>
        <v>0</v>
      </c>
      <c r="L614" s="37">
        <f t="shared" si="193"/>
        <v>511382.26599999995</v>
      </c>
      <c r="M614" s="37">
        <f>L614/I614</f>
        <v>1385.7471370891253</v>
      </c>
      <c r="N614" s="37" t="e">
        <f>M614/$M$1429</f>
        <v>#REF!</v>
      </c>
      <c r="O614" s="37" t="e">
        <f>SUM(O615:O628)</f>
        <v>#REF!</v>
      </c>
      <c r="P614" s="37" t="e">
        <f>SUM(P615:P628)</f>
        <v>#REF!</v>
      </c>
    </row>
    <row r="615" spans="1:16" ht="15.75" hidden="1" x14ac:dyDescent="0.25">
      <c r="A615" s="14">
        <v>12</v>
      </c>
      <c r="B615" s="14" t="s">
        <v>1811</v>
      </c>
      <c r="C615" s="8" t="s">
        <v>1119</v>
      </c>
      <c r="D615" s="28" t="s">
        <v>2168</v>
      </c>
      <c r="E615" s="12" t="s">
        <v>1397</v>
      </c>
      <c r="F615" s="1">
        <v>1</v>
      </c>
      <c r="G615" s="1">
        <v>0</v>
      </c>
      <c r="H615" s="1">
        <v>0</v>
      </c>
      <c r="I615" s="12">
        <f t="shared" ref="I615:I628" si="194">H615+G615</f>
        <v>0</v>
      </c>
      <c r="J615" s="12">
        <v>0</v>
      </c>
      <c r="K615" s="12"/>
      <c r="L615" s="12"/>
      <c r="M615" s="12"/>
      <c r="N615" s="12" t="e">
        <f t="shared" ref="N615:N628" si="195">M615/$M$1431</f>
        <v>#REF!</v>
      </c>
      <c r="O615" s="12" t="e">
        <f t="shared" ref="O615:O628" si="196">ROUND(IF(N615&lt;110%,0,(M615-$M$1431*1.1)*0.8)*I615,1)</f>
        <v>#REF!</v>
      </c>
      <c r="P615" s="12" t="e">
        <f t="shared" ref="P615:P628" si="197">ROUND(IF(N615&gt;90%,0,(-M615+$M$1431*0.9)*0.8)*I615,1)</f>
        <v>#REF!</v>
      </c>
    </row>
    <row r="616" spans="1:16" ht="15.75" hidden="1" x14ac:dyDescent="0.25">
      <c r="A616" s="14">
        <v>12</v>
      </c>
      <c r="B616" s="14" t="s">
        <v>1810</v>
      </c>
      <c r="C616" s="8" t="s">
        <v>1119</v>
      </c>
      <c r="D616" s="28" t="s">
        <v>2169</v>
      </c>
      <c r="E616" s="12" t="s">
        <v>1398</v>
      </c>
      <c r="F616" s="1">
        <v>1</v>
      </c>
      <c r="G616" s="1">
        <v>0</v>
      </c>
      <c r="H616" s="1">
        <v>0</v>
      </c>
      <c r="I616" s="12">
        <f t="shared" si="194"/>
        <v>0</v>
      </c>
      <c r="J616" s="12">
        <v>0</v>
      </c>
      <c r="K616" s="12"/>
      <c r="L616" s="12"/>
      <c r="M616" s="12"/>
      <c r="N616" s="12" t="e">
        <f t="shared" si="195"/>
        <v>#REF!</v>
      </c>
      <c r="O616" s="12" t="e">
        <f t="shared" si="196"/>
        <v>#REF!</v>
      </c>
      <c r="P616" s="12" t="e">
        <f t="shared" si="197"/>
        <v>#REF!</v>
      </c>
    </row>
    <row r="617" spans="1:16" ht="15.75" hidden="1" x14ac:dyDescent="0.25">
      <c r="A617" s="14">
        <v>12</v>
      </c>
      <c r="B617" s="14" t="s">
        <v>1850</v>
      </c>
      <c r="C617" s="8" t="s">
        <v>1119</v>
      </c>
      <c r="D617" s="28" t="s">
        <v>2170</v>
      </c>
      <c r="E617" s="12" t="s">
        <v>1399</v>
      </c>
      <c r="F617" s="1">
        <v>1</v>
      </c>
      <c r="G617" s="1">
        <v>0</v>
      </c>
      <c r="H617" s="1">
        <v>0</v>
      </c>
      <c r="I617" s="12">
        <f t="shared" si="194"/>
        <v>0</v>
      </c>
      <c r="J617" s="12">
        <v>0</v>
      </c>
      <c r="K617" s="12"/>
      <c r="L617" s="12"/>
      <c r="M617" s="12"/>
      <c r="N617" s="12" t="e">
        <f t="shared" si="195"/>
        <v>#REF!</v>
      </c>
      <c r="O617" s="12" t="e">
        <f t="shared" si="196"/>
        <v>#REF!</v>
      </c>
      <c r="P617" s="12" t="e">
        <f t="shared" si="197"/>
        <v>#REF!</v>
      </c>
    </row>
    <row r="618" spans="1:16" ht="16.5" hidden="1" customHeight="1" x14ac:dyDescent="0.25">
      <c r="A618" s="14">
        <v>12</v>
      </c>
      <c r="B618" s="14" t="s">
        <v>1855</v>
      </c>
      <c r="C618" s="8" t="s">
        <v>1119</v>
      </c>
      <c r="D618" s="28" t="s">
        <v>2171</v>
      </c>
      <c r="E618" s="12" t="s">
        <v>1400</v>
      </c>
      <c r="F618" s="1">
        <v>1</v>
      </c>
      <c r="G618" s="1">
        <v>0</v>
      </c>
      <c r="H618" s="1">
        <v>0</v>
      </c>
      <c r="I618" s="12">
        <f t="shared" si="194"/>
        <v>0</v>
      </c>
      <c r="J618" s="12">
        <v>0</v>
      </c>
      <c r="K618" s="12"/>
      <c r="L618" s="12"/>
      <c r="M618" s="12"/>
      <c r="N618" s="12" t="e">
        <f t="shared" si="195"/>
        <v>#REF!</v>
      </c>
      <c r="O618" s="12" t="e">
        <f t="shared" si="196"/>
        <v>#REF!</v>
      </c>
      <c r="P618" s="12" t="e">
        <f t="shared" si="197"/>
        <v>#REF!</v>
      </c>
    </row>
    <row r="619" spans="1:16" ht="16.5" hidden="1" customHeight="1" x14ac:dyDescent="0.25">
      <c r="A619" s="14">
        <v>12</v>
      </c>
      <c r="B619" s="14" t="s">
        <v>1818</v>
      </c>
      <c r="C619" s="8" t="s">
        <v>1119</v>
      </c>
      <c r="D619" s="28" t="s">
        <v>2172</v>
      </c>
      <c r="E619" s="12" t="s">
        <v>779</v>
      </c>
      <c r="F619" s="1">
        <v>1</v>
      </c>
      <c r="G619" s="1">
        <v>0</v>
      </c>
      <c r="H619" s="1">
        <v>0</v>
      </c>
      <c r="I619" s="12">
        <f t="shared" si="194"/>
        <v>0</v>
      </c>
      <c r="J619" s="12">
        <v>0</v>
      </c>
      <c r="K619" s="12"/>
      <c r="L619" s="12"/>
      <c r="M619" s="12"/>
      <c r="N619" s="12" t="e">
        <f t="shared" si="195"/>
        <v>#REF!</v>
      </c>
      <c r="O619" s="12" t="e">
        <f t="shared" si="196"/>
        <v>#REF!</v>
      </c>
      <c r="P619" s="12" t="e">
        <f t="shared" si="197"/>
        <v>#REF!</v>
      </c>
    </row>
    <row r="620" spans="1:16" ht="16.5" hidden="1" customHeight="1" x14ac:dyDescent="0.25">
      <c r="A620" s="14">
        <v>12</v>
      </c>
      <c r="B620" s="14" t="s">
        <v>1820</v>
      </c>
      <c r="C620" s="8" t="s">
        <v>1119</v>
      </c>
      <c r="D620" s="28" t="s">
        <v>2173</v>
      </c>
      <c r="E620" s="12" t="s">
        <v>780</v>
      </c>
      <c r="F620" s="1">
        <v>1</v>
      </c>
      <c r="G620" s="1">
        <v>0</v>
      </c>
      <c r="H620" s="1">
        <v>0</v>
      </c>
      <c r="I620" s="12">
        <f t="shared" si="194"/>
        <v>0</v>
      </c>
      <c r="J620" s="12">
        <v>0</v>
      </c>
      <c r="K620" s="12"/>
      <c r="L620" s="12"/>
      <c r="M620" s="12"/>
      <c r="N620" s="12" t="e">
        <f t="shared" si="195"/>
        <v>#REF!</v>
      </c>
      <c r="O620" s="12" t="e">
        <f t="shared" si="196"/>
        <v>#REF!</v>
      </c>
      <c r="P620" s="12" t="e">
        <f t="shared" si="197"/>
        <v>#REF!</v>
      </c>
    </row>
    <row r="621" spans="1:16" ht="16.5" hidden="1" customHeight="1" x14ac:dyDescent="0.25">
      <c r="A621" s="14">
        <v>12</v>
      </c>
      <c r="B621" s="14" t="s">
        <v>1822</v>
      </c>
      <c r="C621" s="8" t="s">
        <v>1119</v>
      </c>
      <c r="D621" s="28" t="s">
        <v>2174</v>
      </c>
      <c r="E621" s="12" t="s">
        <v>781</v>
      </c>
      <c r="F621" s="1">
        <v>1</v>
      </c>
      <c r="G621" s="1">
        <v>0</v>
      </c>
      <c r="H621" s="1">
        <v>0</v>
      </c>
      <c r="I621" s="12">
        <f t="shared" si="194"/>
        <v>0</v>
      </c>
      <c r="J621" s="12">
        <v>0</v>
      </c>
      <c r="K621" s="12"/>
      <c r="L621" s="12"/>
      <c r="M621" s="12"/>
      <c r="N621" s="12" t="e">
        <f t="shared" si="195"/>
        <v>#REF!</v>
      </c>
      <c r="O621" s="12" t="e">
        <f t="shared" si="196"/>
        <v>#REF!</v>
      </c>
      <c r="P621" s="12" t="e">
        <f t="shared" si="197"/>
        <v>#REF!</v>
      </c>
    </row>
    <row r="622" spans="1:16" ht="16.5" hidden="1" customHeight="1" x14ac:dyDescent="0.25">
      <c r="A622" s="14">
        <v>12</v>
      </c>
      <c r="B622" s="14" t="s">
        <v>1824</v>
      </c>
      <c r="C622" s="8" t="s">
        <v>1119</v>
      </c>
      <c r="D622" s="28" t="s">
        <v>2175</v>
      </c>
      <c r="E622" s="12" t="s">
        <v>1401</v>
      </c>
      <c r="F622" s="1"/>
      <c r="G622" s="1">
        <v>114.521</v>
      </c>
      <c r="H622" s="1">
        <v>20.757000000000001</v>
      </c>
      <c r="I622" s="12">
        <f t="shared" si="194"/>
        <v>135.27799999999999</v>
      </c>
      <c r="J622" s="12">
        <v>135347.80499999999</v>
      </c>
      <c r="K622" s="12"/>
      <c r="L622" s="12">
        <f t="shared" ref="L622:L627" si="198">J622+K622</f>
        <v>135347.80499999999</v>
      </c>
      <c r="M622" s="12">
        <f>L622/I622</f>
        <v>1000.5160114726712</v>
      </c>
      <c r="N622" s="12" t="e">
        <f t="shared" si="195"/>
        <v>#REF!</v>
      </c>
      <c r="O622" s="12" t="e">
        <f t="shared" si="196"/>
        <v>#REF!</v>
      </c>
      <c r="P622" s="12" t="e">
        <f t="shared" si="197"/>
        <v>#REF!</v>
      </c>
    </row>
    <row r="623" spans="1:16" ht="16.5" hidden="1" customHeight="1" x14ac:dyDescent="0.25">
      <c r="A623" s="14">
        <v>12</v>
      </c>
      <c r="B623" s="14" t="s">
        <v>1826</v>
      </c>
      <c r="C623" s="8" t="s">
        <v>1119</v>
      </c>
      <c r="D623" s="28" t="s">
        <v>2176</v>
      </c>
      <c r="E623" s="12" t="s">
        <v>1402</v>
      </c>
      <c r="F623" s="1">
        <v>1</v>
      </c>
      <c r="G623" s="1">
        <v>0</v>
      </c>
      <c r="H623" s="1">
        <v>0</v>
      </c>
      <c r="I623" s="12">
        <f t="shared" si="194"/>
        <v>0</v>
      </c>
      <c r="J623" s="12">
        <v>0</v>
      </c>
      <c r="K623" s="12"/>
      <c r="L623" s="12"/>
      <c r="M623" s="12"/>
      <c r="N623" s="12" t="e">
        <f t="shared" si="195"/>
        <v>#REF!</v>
      </c>
      <c r="O623" s="12" t="e">
        <f t="shared" si="196"/>
        <v>#REF!</v>
      </c>
      <c r="P623" s="12" t="e">
        <f t="shared" si="197"/>
        <v>#REF!</v>
      </c>
    </row>
    <row r="624" spans="1:16" ht="16.5" hidden="1" customHeight="1" x14ac:dyDescent="0.25">
      <c r="A624" s="14">
        <v>12</v>
      </c>
      <c r="B624" s="14">
        <v>10</v>
      </c>
      <c r="C624" s="8" t="s">
        <v>1119</v>
      </c>
      <c r="D624" s="28" t="s">
        <v>2177</v>
      </c>
      <c r="E624" s="12" t="s">
        <v>1403</v>
      </c>
      <c r="F624" s="1">
        <v>1</v>
      </c>
      <c r="G624" s="1">
        <v>0</v>
      </c>
      <c r="H624" s="1">
        <v>0</v>
      </c>
      <c r="I624" s="12">
        <f t="shared" si="194"/>
        <v>0</v>
      </c>
      <c r="J624" s="12">
        <v>0</v>
      </c>
      <c r="K624" s="12"/>
      <c r="L624" s="12"/>
      <c r="M624" s="12"/>
      <c r="N624" s="12" t="e">
        <f t="shared" si="195"/>
        <v>#REF!</v>
      </c>
      <c r="O624" s="12" t="e">
        <f t="shared" si="196"/>
        <v>#REF!</v>
      </c>
      <c r="P624" s="12" t="e">
        <f t="shared" si="197"/>
        <v>#REF!</v>
      </c>
    </row>
    <row r="625" spans="1:16" ht="16.5" hidden="1" customHeight="1" x14ac:dyDescent="0.25">
      <c r="A625" s="14">
        <v>12</v>
      </c>
      <c r="B625" s="14">
        <v>11</v>
      </c>
      <c r="C625" s="8" t="s">
        <v>1119</v>
      </c>
      <c r="D625" s="28" t="s">
        <v>2178</v>
      </c>
      <c r="E625" s="12" t="s">
        <v>1404</v>
      </c>
      <c r="F625" s="1"/>
      <c r="G625" s="1">
        <v>58.582000000000001</v>
      </c>
      <c r="H625" s="1">
        <v>6.0289999999999999</v>
      </c>
      <c r="I625" s="12">
        <f t="shared" si="194"/>
        <v>64.611000000000004</v>
      </c>
      <c r="J625" s="12">
        <v>71604.986999999994</v>
      </c>
      <c r="K625" s="12"/>
      <c r="L625" s="12">
        <f t="shared" si="198"/>
        <v>71604.986999999994</v>
      </c>
      <c r="M625" s="12">
        <f>L625/I625</f>
        <v>1108.2476203742394</v>
      </c>
      <c r="N625" s="12" t="e">
        <f t="shared" si="195"/>
        <v>#REF!</v>
      </c>
      <c r="O625" s="12" t="e">
        <f t="shared" si="196"/>
        <v>#REF!</v>
      </c>
      <c r="P625" s="12" t="e">
        <f t="shared" si="197"/>
        <v>#REF!</v>
      </c>
    </row>
    <row r="626" spans="1:16" ht="16.5" hidden="1" customHeight="1" x14ac:dyDescent="0.25">
      <c r="A626" s="14">
        <v>12</v>
      </c>
      <c r="B626" s="14">
        <v>12</v>
      </c>
      <c r="C626" s="8" t="s">
        <v>1119</v>
      </c>
      <c r="D626" s="28" t="s">
        <v>2179</v>
      </c>
      <c r="E626" s="12" t="s">
        <v>782</v>
      </c>
      <c r="F626" s="1">
        <v>1</v>
      </c>
      <c r="G626" s="1">
        <v>0</v>
      </c>
      <c r="H626" s="1">
        <v>0</v>
      </c>
      <c r="I626" s="12">
        <f t="shared" si="194"/>
        <v>0</v>
      </c>
      <c r="J626" s="12">
        <v>0</v>
      </c>
      <c r="K626" s="12"/>
      <c r="L626" s="12"/>
      <c r="M626" s="12"/>
      <c r="N626" s="12" t="e">
        <f t="shared" si="195"/>
        <v>#REF!</v>
      </c>
      <c r="O626" s="12" t="e">
        <f t="shared" si="196"/>
        <v>#REF!</v>
      </c>
      <c r="P626" s="12" t="e">
        <f t="shared" si="197"/>
        <v>#REF!</v>
      </c>
    </row>
    <row r="627" spans="1:16" ht="16.5" hidden="1" customHeight="1" x14ac:dyDescent="0.25">
      <c r="A627" s="14">
        <v>12</v>
      </c>
      <c r="B627" s="14">
        <v>13</v>
      </c>
      <c r="C627" s="8" t="s">
        <v>1119</v>
      </c>
      <c r="D627" s="28" t="s">
        <v>2180</v>
      </c>
      <c r="E627" s="12" t="s">
        <v>1405</v>
      </c>
      <c r="F627" s="1"/>
      <c r="G627" s="1">
        <v>116.444</v>
      </c>
      <c r="H627" s="1">
        <v>52.697000000000003</v>
      </c>
      <c r="I627" s="12">
        <f t="shared" si="194"/>
        <v>169.14100000000002</v>
      </c>
      <c r="J627" s="12">
        <v>304429.47399999999</v>
      </c>
      <c r="K627" s="12"/>
      <c r="L627" s="12">
        <f t="shared" si="198"/>
        <v>304429.47399999999</v>
      </c>
      <c r="M627" s="12">
        <f>L627/I627</f>
        <v>1799.8561791641291</v>
      </c>
      <c r="N627" s="12" t="e">
        <f t="shared" si="195"/>
        <v>#REF!</v>
      </c>
      <c r="O627" s="12" t="e">
        <f t="shared" si="196"/>
        <v>#REF!</v>
      </c>
      <c r="P627" s="12" t="e">
        <f t="shared" si="197"/>
        <v>#REF!</v>
      </c>
    </row>
    <row r="628" spans="1:16" ht="16.5" hidden="1" customHeight="1" x14ac:dyDescent="0.25">
      <c r="A628" s="14">
        <v>12</v>
      </c>
      <c r="B628" s="14">
        <v>14</v>
      </c>
      <c r="C628" s="8" t="s">
        <v>1119</v>
      </c>
      <c r="D628" s="28" t="s">
        <v>2181</v>
      </c>
      <c r="E628" s="12" t="s">
        <v>1041</v>
      </c>
      <c r="F628" s="1">
        <v>1</v>
      </c>
      <c r="G628" s="1">
        <v>0</v>
      </c>
      <c r="H628" s="1">
        <v>0</v>
      </c>
      <c r="I628" s="12">
        <f t="shared" si="194"/>
        <v>0</v>
      </c>
      <c r="J628" s="12">
        <v>0</v>
      </c>
      <c r="K628" s="12"/>
      <c r="L628" s="12"/>
      <c r="M628" s="12"/>
      <c r="N628" s="12" t="e">
        <f t="shared" si="195"/>
        <v>#REF!</v>
      </c>
      <c r="O628" s="12" t="e">
        <f t="shared" si="196"/>
        <v>#REF!</v>
      </c>
      <c r="P628" s="12" t="e">
        <f t="shared" si="197"/>
        <v>#REF!</v>
      </c>
    </row>
    <row r="629" spans="1:16" ht="16.5" hidden="1" customHeight="1" x14ac:dyDescent="0.25">
      <c r="A629" s="15">
        <v>12</v>
      </c>
      <c r="B629" s="15" t="s">
        <v>1126</v>
      </c>
      <c r="C629" s="10" t="s">
        <v>1157</v>
      </c>
      <c r="D629" s="29"/>
      <c r="E629" s="37" t="s">
        <v>1158</v>
      </c>
      <c r="F629" s="6"/>
      <c r="G629" s="37">
        <f t="shared" ref="G629:L629" si="199">SUM(G630:G646)</f>
        <v>332.053</v>
      </c>
      <c r="H629" s="37">
        <f>SUM(H630:H646)</f>
        <v>133.48399999999998</v>
      </c>
      <c r="I629" s="37">
        <f t="shared" si="199"/>
        <v>465.53699999999998</v>
      </c>
      <c r="J629" s="37">
        <f t="shared" si="199"/>
        <v>365154.13670000003</v>
      </c>
      <c r="K629" s="37">
        <f t="shared" si="199"/>
        <v>0</v>
      </c>
      <c r="L629" s="37">
        <f t="shared" si="199"/>
        <v>365154.13670000003</v>
      </c>
      <c r="M629" s="37">
        <f>L629/I629</f>
        <v>784.3718903116187</v>
      </c>
      <c r="N629" s="37" t="e">
        <f>M629/$M$1429</f>
        <v>#REF!</v>
      </c>
      <c r="O629" s="37" t="e">
        <f>SUM(O630:O646)</f>
        <v>#REF!</v>
      </c>
      <c r="P629" s="37" t="e">
        <f>SUM(P630:P646)</f>
        <v>#REF!</v>
      </c>
    </row>
    <row r="630" spans="1:16" ht="15.75" hidden="1" x14ac:dyDescent="0.25">
      <c r="A630" s="14">
        <v>12</v>
      </c>
      <c r="B630" s="14">
        <v>15</v>
      </c>
      <c r="C630" s="8" t="s">
        <v>1129</v>
      </c>
      <c r="D630" s="28" t="s">
        <v>2182</v>
      </c>
      <c r="E630" s="12" t="s">
        <v>1407</v>
      </c>
      <c r="F630" s="1">
        <v>1</v>
      </c>
      <c r="G630" s="1">
        <v>0</v>
      </c>
      <c r="H630" s="1">
        <v>0</v>
      </c>
      <c r="I630" s="12">
        <f t="shared" ref="I630:I646" si="200">H630+G630</f>
        <v>0</v>
      </c>
      <c r="J630" s="12">
        <v>0</v>
      </c>
      <c r="K630" s="12"/>
      <c r="L630" s="12"/>
      <c r="M630" s="12"/>
      <c r="N630" s="12" t="e">
        <f>M630/$M$1432</f>
        <v>#REF!</v>
      </c>
      <c r="O630" s="12" t="e">
        <f>ROUND(IF(N630&lt;110%,0,(M630-$M$1432*1.1)*0.8)*I630,1)</f>
        <v>#REF!</v>
      </c>
      <c r="P630" s="12" t="e">
        <f>ROUND(IF(N630&gt;90%,0,(-M630+$M$1432*0.9)*0.8)*I630,1)</f>
        <v>#REF!</v>
      </c>
    </row>
    <row r="631" spans="1:16" ht="15.75" hidden="1" x14ac:dyDescent="0.25">
      <c r="A631" s="14">
        <v>12</v>
      </c>
      <c r="B631" s="14">
        <v>16</v>
      </c>
      <c r="C631" s="8" t="s">
        <v>1129</v>
      </c>
      <c r="D631" s="28" t="s">
        <v>2183</v>
      </c>
      <c r="E631" s="12" t="s">
        <v>1408</v>
      </c>
      <c r="F631" s="1"/>
      <c r="G631" s="1">
        <v>0</v>
      </c>
      <c r="H631" s="1">
        <v>0</v>
      </c>
      <c r="I631" s="12">
        <f t="shared" si="200"/>
        <v>0</v>
      </c>
      <c r="J631" s="12">
        <f>26196.204-26196.204</f>
        <v>0</v>
      </c>
      <c r="K631" s="12"/>
      <c r="L631" s="12">
        <f t="shared" ref="L631:L646" si="201">J631+K631</f>
        <v>0</v>
      </c>
      <c r="M631" s="12"/>
      <c r="N631" s="12"/>
      <c r="O631" s="12"/>
      <c r="P631" s="12"/>
    </row>
    <row r="632" spans="1:16" ht="15.75" hidden="1" x14ac:dyDescent="0.25">
      <c r="A632" s="14">
        <v>12</v>
      </c>
      <c r="B632" s="14">
        <v>17</v>
      </c>
      <c r="C632" s="8" t="s">
        <v>1129</v>
      </c>
      <c r="D632" s="28" t="s">
        <v>2184</v>
      </c>
      <c r="E632" s="12" t="s">
        <v>1409</v>
      </c>
      <c r="F632" s="1"/>
      <c r="G632" s="1">
        <v>5.9279999999999999</v>
      </c>
      <c r="H632" s="1">
        <v>1.5109999999999999</v>
      </c>
      <c r="I632" s="12">
        <f t="shared" si="200"/>
        <v>7.4390000000000001</v>
      </c>
      <c r="J632" s="12">
        <v>5946.3140000000003</v>
      </c>
      <c r="K632" s="12"/>
      <c r="L632" s="12">
        <f t="shared" si="201"/>
        <v>5946.3140000000003</v>
      </c>
      <c r="M632" s="12">
        <f>L632/I632</f>
        <v>799.34319128915183</v>
      </c>
      <c r="N632" s="12" t="e">
        <f t="shared" ref="N632:N646" si="202">M632/$M$1432</f>
        <v>#REF!</v>
      </c>
      <c r="O632" s="12" t="e">
        <f t="shared" ref="O632:O646" si="203">ROUND(IF(N632&lt;110%,0,(M632-$M$1432*1.1)*0.8)*I632,1)</f>
        <v>#REF!</v>
      </c>
      <c r="P632" s="12" t="e">
        <f t="shared" ref="P632:P646" si="204">ROUND(IF(N632&gt;90%,0,(-M632+$M$1432*0.9)*0.8)*I632,1)</f>
        <v>#REF!</v>
      </c>
    </row>
    <row r="633" spans="1:16" ht="15.75" hidden="1" x14ac:dyDescent="0.25">
      <c r="A633" s="14">
        <v>12</v>
      </c>
      <c r="B633" s="14">
        <v>18</v>
      </c>
      <c r="C633" s="8" t="s">
        <v>1129</v>
      </c>
      <c r="D633" s="28" t="s">
        <v>2185</v>
      </c>
      <c r="E633" s="12" t="s">
        <v>783</v>
      </c>
      <c r="F633" s="1">
        <v>1</v>
      </c>
      <c r="G633" s="1">
        <v>0</v>
      </c>
      <c r="H633" s="1">
        <v>0</v>
      </c>
      <c r="I633" s="12">
        <f t="shared" si="200"/>
        <v>0</v>
      </c>
      <c r="J633" s="12">
        <v>0</v>
      </c>
      <c r="K633" s="12"/>
      <c r="L633" s="12"/>
      <c r="M633" s="12"/>
      <c r="N633" s="12" t="e">
        <f t="shared" si="202"/>
        <v>#REF!</v>
      </c>
      <c r="O633" s="12" t="e">
        <f t="shared" si="203"/>
        <v>#REF!</v>
      </c>
      <c r="P633" s="12" t="e">
        <f t="shared" si="204"/>
        <v>#REF!</v>
      </c>
    </row>
    <row r="634" spans="1:16" ht="15.75" hidden="1" x14ac:dyDescent="0.25">
      <c r="A634" s="14">
        <v>12</v>
      </c>
      <c r="B634" s="14">
        <v>19</v>
      </c>
      <c r="C634" s="8" t="s">
        <v>1129</v>
      </c>
      <c r="D634" s="28" t="s">
        <v>2186</v>
      </c>
      <c r="E634" s="12" t="s">
        <v>1410</v>
      </c>
      <c r="F634" s="1"/>
      <c r="G634" s="1">
        <v>32.895000000000003</v>
      </c>
      <c r="H634" s="1">
        <v>20.257999999999999</v>
      </c>
      <c r="I634" s="12">
        <f t="shared" si="200"/>
        <v>53.153000000000006</v>
      </c>
      <c r="J634" s="12">
        <f>35497.755-3451.236</f>
        <v>32046.518999999997</v>
      </c>
      <c r="K634" s="12"/>
      <c r="L634" s="12">
        <f t="shared" si="201"/>
        <v>32046.518999999997</v>
      </c>
      <c r="M634" s="12">
        <f>L634/I634</f>
        <v>602.91082347186409</v>
      </c>
      <c r="N634" s="12" t="e">
        <f t="shared" si="202"/>
        <v>#REF!</v>
      </c>
      <c r="O634" s="12" t="e">
        <f t="shared" si="203"/>
        <v>#REF!</v>
      </c>
      <c r="P634" s="12" t="e">
        <f t="shared" si="204"/>
        <v>#REF!</v>
      </c>
    </row>
    <row r="635" spans="1:16" ht="15.75" hidden="1" x14ac:dyDescent="0.25">
      <c r="A635" s="14">
        <v>12</v>
      </c>
      <c r="B635" s="14">
        <v>20</v>
      </c>
      <c r="C635" s="8" t="s">
        <v>1129</v>
      </c>
      <c r="D635" s="28" t="s">
        <v>2187</v>
      </c>
      <c r="E635" s="12" t="s">
        <v>1411</v>
      </c>
      <c r="F635" s="1">
        <v>1</v>
      </c>
      <c r="G635" s="1">
        <v>0</v>
      </c>
      <c r="H635" s="1">
        <v>0</v>
      </c>
      <c r="I635" s="12">
        <f t="shared" si="200"/>
        <v>0</v>
      </c>
      <c r="J635" s="12">
        <v>0</v>
      </c>
      <c r="K635" s="12"/>
      <c r="L635" s="12"/>
      <c r="M635" s="12"/>
      <c r="N635" s="12" t="e">
        <f t="shared" si="202"/>
        <v>#REF!</v>
      </c>
      <c r="O635" s="12" t="e">
        <f t="shared" si="203"/>
        <v>#REF!</v>
      </c>
      <c r="P635" s="12" t="e">
        <f t="shared" si="204"/>
        <v>#REF!</v>
      </c>
    </row>
    <row r="636" spans="1:16" ht="15.75" hidden="1" x14ac:dyDescent="0.25">
      <c r="A636" s="14">
        <v>12</v>
      </c>
      <c r="B636" s="14">
        <v>21</v>
      </c>
      <c r="C636" s="8" t="s">
        <v>1129</v>
      </c>
      <c r="D636" s="28" t="s">
        <v>2188</v>
      </c>
      <c r="E636" s="12" t="s">
        <v>1412</v>
      </c>
      <c r="F636" s="1"/>
      <c r="G636" s="1">
        <v>14.98</v>
      </c>
      <c r="H636" s="1">
        <v>24.765999999999998</v>
      </c>
      <c r="I636" s="12">
        <f t="shared" si="200"/>
        <v>39.745999999999995</v>
      </c>
      <c r="J636" s="12">
        <v>22330.072</v>
      </c>
      <c r="K636" s="12"/>
      <c r="L636" s="12">
        <f t="shared" si="201"/>
        <v>22330.072</v>
      </c>
      <c r="M636" s="12">
        <f>L636/I636</f>
        <v>561.81935289085698</v>
      </c>
      <c r="N636" s="12" t="e">
        <f t="shared" si="202"/>
        <v>#REF!</v>
      </c>
      <c r="O636" s="12" t="e">
        <f t="shared" si="203"/>
        <v>#REF!</v>
      </c>
      <c r="P636" s="12" t="e">
        <f t="shared" si="204"/>
        <v>#REF!</v>
      </c>
    </row>
    <row r="637" spans="1:16" ht="15.75" hidden="1" x14ac:dyDescent="0.25">
      <c r="A637" s="14">
        <v>12</v>
      </c>
      <c r="B637" s="14">
        <v>22</v>
      </c>
      <c r="C637" s="8" t="s">
        <v>1129</v>
      </c>
      <c r="D637" s="28" t="s">
        <v>2189</v>
      </c>
      <c r="E637" s="12" t="s">
        <v>1413</v>
      </c>
      <c r="F637" s="1"/>
      <c r="G637" s="1">
        <v>15.253</v>
      </c>
      <c r="H637" s="1">
        <v>16.332999999999998</v>
      </c>
      <c r="I637" s="12">
        <f t="shared" si="200"/>
        <v>31.585999999999999</v>
      </c>
      <c r="J637" s="12">
        <v>12681.246999999999</v>
      </c>
      <c r="K637" s="12"/>
      <c r="L637" s="12">
        <f t="shared" si="201"/>
        <v>12681.246999999999</v>
      </c>
      <c r="M637" s="12">
        <f>L637/I637</f>
        <v>401.48315709491544</v>
      </c>
      <c r="N637" s="12" t="e">
        <f t="shared" si="202"/>
        <v>#REF!</v>
      </c>
      <c r="O637" s="12" t="e">
        <f t="shared" si="203"/>
        <v>#REF!</v>
      </c>
      <c r="P637" s="12" t="e">
        <f t="shared" si="204"/>
        <v>#REF!</v>
      </c>
    </row>
    <row r="638" spans="1:16" ht="15.75" hidden="1" x14ac:dyDescent="0.25">
      <c r="A638" s="14">
        <v>12</v>
      </c>
      <c r="B638" s="14">
        <v>23</v>
      </c>
      <c r="C638" s="8" t="s">
        <v>1129</v>
      </c>
      <c r="D638" s="28" t="s">
        <v>2190</v>
      </c>
      <c r="E638" s="12" t="s">
        <v>1414</v>
      </c>
      <c r="F638" s="1"/>
      <c r="G638" s="1">
        <v>41.417999999999999</v>
      </c>
      <c r="H638" s="1">
        <v>15.747</v>
      </c>
      <c r="I638" s="12">
        <f t="shared" si="200"/>
        <v>57.164999999999999</v>
      </c>
      <c r="J638" s="12">
        <v>46106.067999999999</v>
      </c>
      <c r="K638" s="12"/>
      <c r="L638" s="12">
        <f t="shared" si="201"/>
        <v>46106.067999999999</v>
      </c>
      <c r="M638" s="12">
        <f>L638/I638</f>
        <v>806.5436543339456</v>
      </c>
      <c r="N638" s="12" t="e">
        <f t="shared" si="202"/>
        <v>#REF!</v>
      </c>
      <c r="O638" s="12" t="e">
        <f t="shared" si="203"/>
        <v>#REF!</v>
      </c>
      <c r="P638" s="12" t="e">
        <f t="shared" si="204"/>
        <v>#REF!</v>
      </c>
    </row>
    <row r="639" spans="1:16" ht="15.75" hidden="1" x14ac:dyDescent="0.25">
      <c r="A639" s="14">
        <v>12</v>
      </c>
      <c r="B639" s="14">
        <v>24</v>
      </c>
      <c r="C639" s="8" t="s">
        <v>1129</v>
      </c>
      <c r="D639" s="28" t="s">
        <v>2191</v>
      </c>
      <c r="E639" s="12" t="s">
        <v>1415</v>
      </c>
      <c r="F639" s="1"/>
      <c r="G639" s="1">
        <v>22.041</v>
      </c>
      <c r="H639" s="1">
        <v>4.3380000000000001</v>
      </c>
      <c r="I639" s="12">
        <f t="shared" si="200"/>
        <v>26.379000000000001</v>
      </c>
      <c r="J639" s="12">
        <v>18249.648000000001</v>
      </c>
      <c r="K639" s="12"/>
      <c r="L639" s="12">
        <f t="shared" si="201"/>
        <v>18249.648000000001</v>
      </c>
      <c r="M639" s="12">
        <f>L639/I639</f>
        <v>691.8248606846355</v>
      </c>
      <c r="N639" s="12" t="e">
        <f t="shared" si="202"/>
        <v>#REF!</v>
      </c>
      <c r="O639" s="12" t="e">
        <f t="shared" si="203"/>
        <v>#REF!</v>
      </c>
      <c r="P639" s="12" t="e">
        <f t="shared" si="204"/>
        <v>#REF!</v>
      </c>
    </row>
    <row r="640" spans="1:16" ht="15.75" hidden="1" x14ac:dyDescent="0.25">
      <c r="A640" s="14">
        <v>12</v>
      </c>
      <c r="B640" s="14">
        <v>25</v>
      </c>
      <c r="C640" s="8" t="s">
        <v>1129</v>
      </c>
      <c r="D640" s="28" t="s">
        <v>2192</v>
      </c>
      <c r="E640" s="12" t="s">
        <v>1416</v>
      </c>
      <c r="F640" s="1">
        <v>1</v>
      </c>
      <c r="G640" s="1">
        <v>0</v>
      </c>
      <c r="H640" s="1">
        <v>0</v>
      </c>
      <c r="I640" s="12">
        <f t="shared" si="200"/>
        <v>0</v>
      </c>
      <c r="J640" s="12">
        <v>0</v>
      </c>
      <c r="K640" s="12"/>
      <c r="L640" s="12"/>
      <c r="M640" s="12"/>
      <c r="N640" s="12" t="e">
        <f t="shared" si="202"/>
        <v>#REF!</v>
      </c>
      <c r="O640" s="12" t="e">
        <f t="shared" si="203"/>
        <v>#REF!</v>
      </c>
      <c r="P640" s="12" t="e">
        <f t="shared" si="204"/>
        <v>#REF!</v>
      </c>
    </row>
    <row r="641" spans="1:16" ht="15.75" hidden="1" x14ac:dyDescent="0.25">
      <c r="A641" s="14">
        <v>12</v>
      </c>
      <c r="B641" s="14">
        <v>26</v>
      </c>
      <c r="C641" s="8" t="s">
        <v>1129</v>
      </c>
      <c r="D641" s="28" t="s">
        <v>2193</v>
      </c>
      <c r="E641" s="12" t="s">
        <v>1417</v>
      </c>
      <c r="F641" s="1"/>
      <c r="G641" s="1">
        <v>77.540999999999997</v>
      </c>
      <c r="H641" s="1">
        <v>9.36</v>
      </c>
      <c r="I641" s="12">
        <f t="shared" si="200"/>
        <v>86.900999999999996</v>
      </c>
      <c r="J641" s="12">
        <v>84358.346000000005</v>
      </c>
      <c r="K641" s="12"/>
      <c r="L641" s="12">
        <f t="shared" si="201"/>
        <v>84358.346000000005</v>
      </c>
      <c r="M641" s="12">
        <f>L641/I641</f>
        <v>970.74079699888387</v>
      </c>
      <c r="N641" s="12" t="e">
        <f t="shared" si="202"/>
        <v>#REF!</v>
      </c>
      <c r="O641" s="12" t="e">
        <f t="shared" si="203"/>
        <v>#REF!</v>
      </c>
      <c r="P641" s="12" t="e">
        <f t="shared" si="204"/>
        <v>#REF!</v>
      </c>
    </row>
    <row r="642" spans="1:16" ht="15.75" hidden="1" x14ac:dyDescent="0.25">
      <c r="A642" s="14">
        <v>12</v>
      </c>
      <c r="B642" s="14">
        <v>27</v>
      </c>
      <c r="C642" s="8" t="s">
        <v>1129</v>
      </c>
      <c r="D642" s="28" t="s">
        <v>2194</v>
      </c>
      <c r="E642" s="12" t="s">
        <v>1418</v>
      </c>
      <c r="F642" s="1"/>
      <c r="G642" s="1">
        <v>32.835999999999999</v>
      </c>
      <c r="H642" s="1">
        <v>6.399</v>
      </c>
      <c r="I642" s="12">
        <f t="shared" si="200"/>
        <v>39.234999999999999</v>
      </c>
      <c r="J642" s="12">
        <f>44350.878-3280.590684</f>
        <v>41070.287315999994</v>
      </c>
      <c r="K642" s="12"/>
      <c r="L642" s="12">
        <f t="shared" si="201"/>
        <v>41070.287315999994</v>
      </c>
      <c r="M642" s="12">
        <f>L642/I642</f>
        <v>1046.7767889894226</v>
      </c>
      <c r="N642" s="12" t="e">
        <f t="shared" si="202"/>
        <v>#REF!</v>
      </c>
      <c r="O642" s="12" t="e">
        <f t="shared" si="203"/>
        <v>#REF!</v>
      </c>
      <c r="P642" s="12" t="e">
        <f t="shared" si="204"/>
        <v>#REF!</v>
      </c>
    </row>
    <row r="643" spans="1:16" ht="15.75" hidden="1" x14ac:dyDescent="0.25">
      <c r="A643" s="14">
        <v>12</v>
      </c>
      <c r="B643" s="14">
        <v>28</v>
      </c>
      <c r="C643" s="8" t="s">
        <v>1129</v>
      </c>
      <c r="D643" s="28" t="s">
        <v>2195</v>
      </c>
      <c r="E643" s="12" t="s">
        <v>1419</v>
      </c>
      <c r="F643" s="1">
        <v>1</v>
      </c>
      <c r="G643" s="1">
        <v>0</v>
      </c>
      <c r="H643" s="1">
        <v>0</v>
      </c>
      <c r="I643" s="12">
        <f t="shared" si="200"/>
        <v>0</v>
      </c>
      <c r="J643" s="12">
        <v>0</v>
      </c>
      <c r="K643" s="12"/>
      <c r="L643" s="12"/>
      <c r="M643" s="12"/>
      <c r="N643" s="12" t="e">
        <f t="shared" si="202"/>
        <v>#REF!</v>
      </c>
      <c r="O643" s="12" t="e">
        <f t="shared" si="203"/>
        <v>#REF!</v>
      </c>
      <c r="P643" s="12" t="e">
        <f t="shared" si="204"/>
        <v>#REF!</v>
      </c>
    </row>
    <row r="644" spans="1:16" ht="15.75" hidden="1" x14ac:dyDescent="0.25">
      <c r="A644" s="14">
        <v>12</v>
      </c>
      <c r="B644" s="14">
        <v>29</v>
      </c>
      <c r="C644" s="8" t="s">
        <v>1129</v>
      </c>
      <c r="D644" s="28" t="s">
        <v>2196</v>
      </c>
      <c r="E644" s="12" t="s">
        <v>1420</v>
      </c>
      <c r="F644" s="1"/>
      <c r="G644" s="1">
        <v>48.512</v>
      </c>
      <c r="H644" s="1">
        <v>12.705</v>
      </c>
      <c r="I644" s="12">
        <f t="shared" si="200"/>
        <v>61.216999999999999</v>
      </c>
      <c r="J644" s="12">
        <v>25648.239000000001</v>
      </c>
      <c r="K644" s="12"/>
      <c r="L644" s="12">
        <f t="shared" si="201"/>
        <v>25648.239000000001</v>
      </c>
      <c r="M644" s="12">
        <f>L644/I644</f>
        <v>418.97249130143592</v>
      </c>
      <c r="N644" s="12" t="e">
        <f t="shared" si="202"/>
        <v>#REF!</v>
      </c>
      <c r="O644" s="12" t="e">
        <f t="shared" si="203"/>
        <v>#REF!</v>
      </c>
      <c r="P644" s="12" t="e">
        <f t="shared" si="204"/>
        <v>#REF!</v>
      </c>
    </row>
    <row r="645" spans="1:16" ht="15.75" hidden="1" x14ac:dyDescent="0.25">
      <c r="A645" s="14">
        <v>12</v>
      </c>
      <c r="B645" s="14">
        <v>30</v>
      </c>
      <c r="C645" s="8" t="s">
        <v>1129</v>
      </c>
      <c r="D645" s="28" t="s">
        <v>2197</v>
      </c>
      <c r="E645" s="12" t="s">
        <v>1421</v>
      </c>
      <c r="F645" s="1"/>
      <c r="G645" s="1">
        <v>37.74</v>
      </c>
      <c r="H645" s="1">
        <v>21.702999999999999</v>
      </c>
      <c r="I645" s="12">
        <f t="shared" si="200"/>
        <v>59.442999999999998</v>
      </c>
      <c r="J645" s="12">
        <v>73887.123000000007</v>
      </c>
      <c r="K645" s="12"/>
      <c r="L645" s="12">
        <f t="shared" si="201"/>
        <v>73887.123000000007</v>
      </c>
      <c r="M645" s="12">
        <f>L645/I645</f>
        <v>1242.9911511868515</v>
      </c>
      <c r="N645" s="12" t="e">
        <f t="shared" si="202"/>
        <v>#REF!</v>
      </c>
      <c r="O645" s="12" t="e">
        <f t="shared" si="203"/>
        <v>#REF!</v>
      </c>
      <c r="P645" s="12" t="e">
        <f t="shared" si="204"/>
        <v>#REF!</v>
      </c>
    </row>
    <row r="646" spans="1:16" ht="15.75" hidden="1" x14ac:dyDescent="0.25">
      <c r="A646" s="14">
        <v>12</v>
      </c>
      <c r="B646" s="14">
        <v>31</v>
      </c>
      <c r="C646" s="8" t="s">
        <v>1129</v>
      </c>
      <c r="D646" s="28" t="s">
        <v>2198</v>
      </c>
      <c r="E646" s="12" t="s">
        <v>1422</v>
      </c>
      <c r="F646" s="1"/>
      <c r="G646" s="1">
        <v>2.9089999999999998</v>
      </c>
      <c r="H646" s="1">
        <v>0.36399999999999999</v>
      </c>
      <c r="I646" s="12">
        <f t="shared" si="200"/>
        <v>3.2729999999999997</v>
      </c>
      <c r="J646" s="12">
        <f>33760.271-25804.082-4074.878-1051.037616</f>
        <v>2830.2733840000019</v>
      </c>
      <c r="K646" s="12"/>
      <c r="L646" s="12">
        <f t="shared" si="201"/>
        <v>2830.2733840000019</v>
      </c>
      <c r="M646" s="12">
        <f>L646/I646</f>
        <v>864.73369508096619</v>
      </c>
      <c r="N646" s="12" t="e">
        <f t="shared" si="202"/>
        <v>#REF!</v>
      </c>
      <c r="O646" s="12" t="e">
        <f t="shared" si="203"/>
        <v>#REF!</v>
      </c>
      <c r="P646" s="12" t="e">
        <f t="shared" si="204"/>
        <v>#REF!</v>
      </c>
    </row>
    <row r="647" spans="1:16" ht="15.75" hidden="1" x14ac:dyDescent="0.25">
      <c r="A647" s="14">
        <v>12</v>
      </c>
      <c r="B647" s="14" t="s">
        <v>1126</v>
      </c>
      <c r="C647" s="10" t="s">
        <v>1743</v>
      </c>
      <c r="D647" s="29"/>
      <c r="E647" s="37" t="s">
        <v>1747</v>
      </c>
      <c r="F647" s="6"/>
      <c r="G647" s="37">
        <f t="shared" ref="G647:L647" si="205">SUM(G648:G655)</f>
        <v>82.195999999999998</v>
      </c>
      <c r="H647" s="37">
        <f t="shared" si="205"/>
        <v>64.903000000000006</v>
      </c>
      <c r="I647" s="37">
        <f t="shared" si="205"/>
        <v>147.09899999999999</v>
      </c>
      <c r="J647" s="37">
        <f t="shared" si="205"/>
        <v>106184.50429999999</v>
      </c>
      <c r="K647" s="37">
        <f t="shared" si="205"/>
        <v>0</v>
      </c>
      <c r="L647" s="37">
        <f t="shared" si="205"/>
        <v>106184.50429999999</v>
      </c>
      <c r="M647" s="37">
        <f>L647/I647</f>
        <v>721.85741779345881</v>
      </c>
      <c r="N647" s="37" t="e">
        <f>M647/$M$1429</f>
        <v>#REF!</v>
      </c>
      <c r="O647" s="37" t="e">
        <f>SUM(O648:O655)</f>
        <v>#REF!</v>
      </c>
      <c r="P647" s="37" t="e">
        <f>SUM(P648:P655)</f>
        <v>#REF!</v>
      </c>
    </row>
    <row r="648" spans="1:16" ht="15.75" hidden="1" x14ac:dyDescent="0.25">
      <c r="A648" s="14">
        <v>12</v>
      </c>
      <c r="B648" s="14">
        <v>32</v>
      </c>
      <c r="C648" s="8" t="s">
        <v>1744</v>
      </c>
      <c r="D648" s="28" t="s">
        <v>2619</v>
      </c>
      <c r="E648" s="12" t="s">
        <v>2620</v>
      </c>
      <c r="F648" s="1"/>
      <c r="G648" s="1">
        <v>13.207000000000001</v>
      </c>
      <c r="H648" s="1">
        <v>8.4169999999999998</v>
      </c>
      <c r="I648" s="12">
        <f t="shared" ref="I648:I655" si="206">H648+G648</f>
        <v>21.624000000000002</v>
      </c>
      <c r="J648" s="12">
        <v>20725.895</v>
      </c>
      <c r="K648" s="12"/>
      <c r="L648" s="12">
        <f t="shared" ref="L648:L655" si="207">J648+K648</f>
        <v>20725.895</v>
      </c>
      <c r="M648" s="12">
        <f t="shared" ref="M648:M655" si="208">L648/I648</f>
        <v>958.46721235664063</v>
      </c>
      <c r="N648" s="12" t="e">
        <f t="shared" ref="N648:N655" si="209">M648/$M$1433</f>
        <v>#REF!</v>
      </c>
      <c r="O648" s="12" t="e">
        <f t="shared" ref="O648:O655" si="210">ROUND(IF(N648&lt;110%,0,(M648-$M$1433*1.1)*0.8)*I648,1)</f>
        <v>#REF!</v>
      </c>
      <c r="P648" s="12" t="e">
        <f t="shared" ref="P648:P655" si="211">ROUND(IF(N648&gt;90%,0,(-M648+$M$1433*0.9)*0.8)*I648,1)</f>
        <v>#REF!</v>
      </c>
    </row>
    <row r="649" spans="1:16" ht="15.75" hidden="1" x14ac:dyDescent="0.25">
      <c r="A649" s="14">
        <v>12</v>
      </c>
      <c r="B649" s="14">
        <v>33</v>
      </c>
      <c r="C649" s="8" t="s">
        <v>1744</v>
      </c>
      <c r="D649" s="28" t="s">
        <v>2621</v>
      </c>
      <c r="E649" s="12" t="s">
        <v>2622</v>
      </c>
      <c r="F649" s="1"/>
      <c r="G649" s="1">
        <v>12.192</v>
      </c>
      <c r="H649" s="1">
        <v>4.22</v>
      </c>
      <c r="I649" s="12">
        <f t="shared" si="206"/>
        <v>16.411999999999999</v>
      </c>
      <c r="J649" s="12">
        <v>17883.434000000001</v>
      </c>
      <c r="K649" s="12"/>
      <c r="L649" s="12">
        <f t="shared" si="207"/>
        <v>17883.434000000001</v>
      </c>
      <c r="M649" s="12">
        <f t="shared" si="208"/>
        <v>1089.6559834267609</v>
      </c>
      <c r="N649" s="12" t="e">
        <f t="shared" si="209"/>
        <v>#REF!</v>
      </c>
      <c r="O649" s="12" t="e">
        <f t="shared" si="210"/>
        <v>#REF!</v>
      </c>
      <c r="P649" s="12" t="e">
        <f t="shared" si="211"/>
        <v>#REF!</v>
      </c>
    </row>
    <row r="650" spans="1:16" ht="15.75" hidden="1" x14ac:dyDescent="0.25">
      <c r="A650" s="14">
        <v>12</v>
      </c>
      <c r="B650" s="14">
        <v>34</v>
      </c>
      <c r="C650" s="8" t="s">
        <v>1744</v>
      </c>
      <c r="D650" s="28" t="s">
        <v>317</v>
      </c>
      <c r="E650" s="12" t="s">
        <v>318</v>
      </c>
      <c r="F650" s="1"/>
      <c r="G650" s="1">
        <v>6.6779999999999999</v>
      </c>
      <c r="H650" s="1">
        <v>2.71</v>
      </c>
      <c r="I650" s="12">
        <f t="shared" si="206"/>
        <v>9.3879999999999999</v>
      </c>
      <c r="J650" s="12">
        <v>3717.1469999999999</v>
      </c>
      <c r="K650" s="12"/>
      <c r="L650" s="12">
        <f t="shared" si="207"/>
        <v>3717.1469999999999</v>
      </c>
      <c r="M650" s="12">
        <f t="shared" si="208"/>
        <v>395.94663400085216</v>
      </c>
      <c r="N650" s="12" t="e">
        <f t="shared" si="209"/>
        <v>#REF!</v>
      </c>
      <c r="O650" s="12" t="e">
        <f t="shared" si="210"/>
        <v>#REF!</v>
      </c>
      <c r="P650" s="12" t="e">
        <f t="shared" si="211"/>
        <v>#REF!</v>
      </c>
    </row>
    <row r="651" spans="1:16" ht="15.75" hidden="1" x14ac:dyDescent="0.25">
      <c r="A651" s="14">
        <v>12</v>
      </c>
      <c r="B651" s="14">
        <v>35</v>
      </c>
      <c r="C651" s="8" t="s">
        <v>1744</v>
      </c>
      <c r="D651" s="28" t="s">
        <v>542</v>
      </c>
      <c r="E651" s="42" t="s">
        <v>784</v>
      </c>
      <c r="F651" s="43"/>
      <c r="G651" s="43">
        <v>14.694000000000001</v>
      </c>
      <c r="H651" s="43">
        <v>2.097</v>
      </c>
      <c r="I651" s="12">
        <f t="shared" si="206"/>
        <v>16.791</v>
      </c>
      <c r="J651" s="42">
        <v>25804.081999999999</v>
      </c>
      <c r="K651" s="42"/>
      <c r="L651" s="42">
        <f t="shared" si="207"/>
        <v>25804.081999999999</v>
      </c>
      <c r="M651" s="42">
        <f t="shared" si="208"/>
        <v>1536.7805371925435</v>
      </c>
      <c r="N651" s="12" t="e">
        <f t="shared" si="209"/>
        <v>#REF!</v>
      </c>
      <c r="O651" s="12" t="e">
        <f t="shared" si="210"/>
        <v>#REF!</v>
      </c>
      <c r="P651" s="12" t="e">
        <f t="shared" si="211"/>
        <v>#REF!</v>
      </c>
    </row>
    <row r="652" spans="1:16" ht="15.75" hidden="1" x14ac:dyDescent="0.25">
      <c r="A652" s="49">
        <v>12</v>
      </c>
      <c r="B652" s="49">
        <v>36</v>
      </c>
      <c r="C652" s="50" t="s">
        <v>1744</v>
      </c>
      <c r="D652" s="51" t="s">
        <v>785</v>
      </c>
      <c r="E652" s="52" t="s">
        <v>786</v>
      </c>
      <c r="F652" s="53"/>
      <c r="G652" s="53">
        <v>23.745999999999999</v>
      </c>
      <c r="H652" s="53">
        <v>46.204999999999998</v>
      </c>
      <c r="I652" s="12">
        <f t="shared" si="206"/>
        <v>69.950999999999993</v>
      </c>
      <c r="J652" s="52">
        <v>26196.204000000002</v>
      </c>
      <c r="K652" s="52"/>
      <c r="L652" s="52">
        <f t="shared" si="207"/>
        <v>26196.204000000002</v>
      </c>
      <c r="M652" s="52">
        <f t="shared" si="208"/>
        <v>374.49363125616509</v>
      </c>
      <c r="N652" s="12" t="e">
        <f t="shared" si="209"/>
        <v>#REF!</v>
      </c>
      <c r="O652" s="12" t="e">
        <f t="shared" si="210"/>
        <v>#REF!</v>
      </c>
      <c r="P652" s="12" t="e">
        <f t="shared" si="211"/>
        <v>#REF!</v>
      </c>
    </row>
    <row r="653" spans="1:16" ht="15.75" hidden="1" x14ac:dyDescent="0.25">
      <c r="A653" s="49">
        <v>12</v>
      </c>
      <c r="B653" s="49">
        <v>37</v>
      </c>
      <c r="C653" s="50" t="s">
        <v>1744</v>
      </c>
      <c r="D653" s="51" t="s">
        <v>787</v>
      </c>
      <c r="E653" s="52" t="s">
        <v>788</v>
      </c>
      <c r="F653" s="53"/>
      <c r="G653" s="53">
        <v>6.8949999999999996</v>
      </c>
      <c r="H653" s="53">
        <v>0.68799999999999994</v>
      </c>
      <c r="I653" s="12">
        <f t="shared" si="206"/>
        <v>7.5829999999999993</v>
      </c>
      <c r="J653" s="52">
        <v>3451.2359999999999</v>
      </c>
      <c r="K653" s="52"/>
      <c r="L653" s="52">
        <f t="shared" si="207"/>
        <v>3451.2359999999999</v>
      </c>
      <c r="M653" s="52">
        <f t="shared" si="208"/>
        <v>455.12804958459714</v>
      </c>
      <c r="N653" s="12" t="e">
        <f t="shared" si="209"/>
        <v>#REF!</v>
      </c>
      <c r="O653" s="12" t="e">
        <f t="shared" si="210"/>
        <v>#REF!</v>
      </c>
      <c r="P653" s="12" t="e">
        <f t="shared" si="211"/>
        <v>#REF!</v>
      </c>
    </row>
    <row r="654" spans="1:16" ht="15.75" hidden="1" x14ac:dyDescent="0.25">
      <c r="A654" s="49">
        <v>12</v>
      </c>
      <c r="B654" s="49">
        <v>38</v>
      </c>
      <c r="C654" s="50" t="s">
        <v>1744</v>
      </c>
      <c r="D654" s="51" t="s">
        <v>789</v>
      </c>
      <c r="E654" s="52" t="s">
        <v>790</v>
      </c>
      <c r="F654" s="53"/>
      <c r="G654" s="53">
        <v>1.51</v>
      </c>
      <c r="H654" s="53">
        <v>0.25600000000000001</v>
      </c>
      <c r="I654" s="12">
        <f t="shared" si="206"/>
        <v>1.766</v>
      </c>
      <c r="J654" s="52">
        <v>4074.8780000000002</v>
      </c>
      <c r="K654" s="52"/>
      <c r="L654" s="52">
        <f t="shared" si="207"/>
        <v>4074.8780000000002</v>
      </c>
      <c r="M654" s="52">
        <f t="shared" si="208"/>
        <v>2307.4054360135901</v>
      </c>
      <c r="N654" s="12" t="e">
        <f t="shared" si="209"/>
        <v>#REF!</v>
      </c>
      <c r="O654" s="12" t="e">
        <f t="shared" si="210"/>
        <v>#REF!</v>
      </c>
      <c r="P654" s="12" t="e">
        <f t="shared" si="211"/>
        <v>#REF!</v>
      </c>
    </row>
    <row r="655" spans="1:16" ht="31.5" hidden="1" x14ac:dyDescent="0.25">
      <c r="A655" s="49">
        <v>12</v>
      </c>
      <c r="B655" s="49">
        <v>39</v>
      </c>
      <c r="C655" s="50" t="s">
        <v>1744</v>
      </c>
      <c r="D655" s="51" t="s">
        <v>791</v>
      </c>
      <c r="E655" s="52" t="s">
        <v>792</v>
      </c>
      <c r="F655" s="53"/>
      <c r="G655" s="53">
        <v>3.274</v>
      </c>
      <c r="H655" s="53">
        <f>(254+56)/1000</f>
        <v>0.31</v>
      </c>
      <c r="I655" s="12">
        <f t="shared" si="206"/>
        <v>3.5840000000000001</v>
      </c>
      <c r="J655" s="52">
        <f>3280.590684+1051.037616</f>
        <v>4331.6283000000003</v>
      </c>
      <c r="K655" s="52"/>
      <c r="L655" s="52">
        <f t="shared" si="207"/>
        <v>4331.6283000000003</v>
      </c>
      <c r="M655" s="52">
        <f t="shared" si="208"/>
        <v>1208.6016462053572</v>
      </c>
      <c r="N655" s="12" t="e">
        <f t="shared" si="209"/>
        <v>#REF!</v>
      </c>
      <c r="O655" s="12" t="e">
        <f t="shared" si="210"/>
        <v>#REF!</v>
      </c>
      <c r="P655" s="12" t="e">
        <f t="shared" si="211"/>
        <v>#REF!</v>
      </c>
    </row>
    <row r="656" spans="1:16" s="75" customFormat="1" ht="15.75" hidden="1" x14ac:dyDescent="0.25">
      <c r="A656" s="72">
        <v>13</v>
      </c>
      <c r="B656" s="72" t="s">
        <v>1126</v>
      </c>
      <c r="C656" s="73" t="s">
        <v>1161</v>
      </c>
      <c r="D656" s="74"/>
      <c r="E656" s="71" t="s">
        <v>1453</v>
      </c>
      <c r="F656" s="76"/>
      <c r="G656" s="71">
        <f t="shared" ref="G656:L656" si="212">G657+G658+G668+G689</f>
        <v>2534.027</v>
      </c>
      <c r="H656" s="71">
        <f t="shared" si="212"/>
        <v>11.974</v>
      </c>
      <c r="I656" s="71">
        <f t="shared" si="212"/>
        <v>2546.0010000000002</v>
      </c>
      <c r="J656" s="71">
        <f t="shared" si="212"/>
        <v>3698787.7503799992</v>
      </c>
      <c r="K656" s="71">
        <f t="shared" si="212"/>
        <v>-45075.679199999999</v>
      </c>
      <c r="L656" s="71">
        <f t="shared" si="212"/>
        <v>3653712.071179999</v>
      </c>
      <c r="M656" s="71">
        <f>L656/I656</f>
        <v>1435.0788044388037</v>
      </c>
      <c r="N656" s="71" t="e">
        <f>M656/$M$1429</f>
        <v>#REF!</v>
      </c>
      <c r="O656" s="71" t="e">
        <f>O657+O658+O668+O689</f>
        <v>#REF!</v>
      </c>
      <c r="P656" s="71" t="e">
        <f>P657+P658+P668+P689</f>
        <v>#REF!</v>
      </c>
    </row>
    <row r="657" spans="1:16" ht="15.75" hidden="1" x14ac:dyDescent="0.25">
      <c r="A657" s="14">
        <v>13</v>
      </c>
      <c r="B657" s="14" t="s">
        <v>1126</v>
      </c>
      <c r="C657" s="8" t="s">
        <v>1159</v>
      </c>
      <c r="D657" s="28" t="s">
        <v>2199</v>
      </c>
      <c r="E657" s="12" t="s">
        <v>1160</v>
      </c>
      <c r="F657" s="1"/>
      <c r="G657" s="1">
        <v>0</v>
      </c>
      <c r="H657" s="1">
        <v>0</v>
      </c>
      <c r="I657" s="12">
        <f>H657+G657</f>
        <v>0</v>
      </c>
      <c r="J657" s="12"/>
      <c r="K657" s="12"/>
      <c r="L657" s="12"/>
      <c r="M657" s="12"/>
      <c r="N657" s="12"/>
      <c r="O657" s="12"/>
      <c r="P657" s="12"/>
    </row>
    <row r="658" spans="1:16" ht="15.75" hidden="1" x14ac:dyDescent="0.25">
      <c r="A658" s="15">
        <v>13</v>
      </c>
      <c r="B658" s="15" t="s">
        <v>1126</v>
      </c>
      <c r="C658" s="10" t="s">
        <v>1127</v>
      </c>
      <c r="D658" s="29"/>
      <c r="E658" s="37" t="s">
        <v>1128</v>
      </c>
      <c r="F658" s="6"/>
      <c r="G658" s="37">
        <f t="shared" ref="G658:L658" si="213">SUM(G659:G667)</f>
        <v>1131.6290000000001</v>
      </c>
      <c r="H658" s="37">
        <f>SUM(H659:H667)</f>
        <v>10.022</v>
      </c>
      <c r="I658" s="37">
        <f t="shared" si="213"/>
        <v>1141.6509999999998</v>
      </c>
      <c r="J658" s="37">
        <f t="shared" si="213"/>
        <v>2432964.8548099995</v>
      </c>
      <c r="K658" s="37">
        <f t="shared" si="213"/>
        <v>-70176.379199999996</v>
      </c>
      <c r="L658" s="37">
        <f t="shared" si="213"/>
        <v>2362788.4756099996</v>
      </c>
      <c r="M658" s="37">
        <f t="shared" ref="M658:M721" si="214">L658/I658</f>
        <v>2069.6241457415617</v>
      </c>
      <c r="N658" s="37" t="e">
        <f>M658/$M$1429</f>
        <v>#REF!</v>
      </c>
      <c r="O658" s="37" t="e">
        <f>SUM(O659:O667)</f>
        <v>#REF!</v>
      </c>
      <c r="P658" s="37" t="e">
        <f>SUM(P659:P667)</f>
        <v>#REF!</v>
      </c>
    </row>
    <row r="659" spans="1:16" ht="15.75" hidden="1" x14ac:dyDescent="0.25">
      <c r="A659" s="14">
        <v>13</v>
      </c>
      <c r="B659" s="14" t="s">
        <v>1811</v>
      </c>
      <c r="C659" s="8" t="s">
        <v>1119</v>
      </c>
      <c r="D659" s="28" t="s">
        <v>2200</v>
      </c>
      <c r="E659" s="12" t="s">
        <v>1424</v>
      </c>
      <c r="F659" s="1"/>
      <c r="G659" s="1">
        <v>758.471</v>
      </c>
      <c r="H659" s="1">
        <v>8.5830000000000002</v>
      </c>
      <c r="I659" s="12">
        <f t="shared" ref="I659:I667" si="215">H659+G659</f>
        <v>767.05399999999997</v>
      </c>
      <c r="J659" s="12">
        <v>1969862.8214799999</v>
      </c>
      <c r="K659" s="12">
        <f>-(62010.5+481.5+1195+941.3+1279.7+408.2+709.2+446.8+458.7+565.2+461.3+576.8+386.4+426.3+601+371.3+614+390.3+33334.9+561+487.2+422.1+675.2+487.4)*0.6-13121.6*0.6+5.968*0.6</f>
        <v>-72844.159199999995</v>
      </c>
      <c r="L659" s="12">
        <f t="shared" ref="L659:L667" si="216">J659+K659</f>
        <v>1897018.6622799998</v>
      </c>
      <c r="M659" s="12">
        <f t="shared" si="214"/>
        <v>2473.1227035906204</v>
      </c>
      <c r="N659" s="12" t="e">
        <f t="shared" ref="N659:N667" si="217">M659/$M$1431</f>
        <v>#REF!</v>
      </c>
      <c r="O659" s="12" t="e">
        <f t="shared" ref="O659:O667" si="218">ROUND(IF(N659&lt;110%,0,(M659-$M$1431*1.1)*0.8)*I659,1)</f>
        <v>#REF!</v>
      </c>
      <c r="P659" s="12" t="e">
        <f t="shared" ref="P659:P667" si="219">ROUND(IF(N659&gt;90%,0,(-M659+$M$1431*0.9)*0.8)*I659,1)</f>
        <v>#REF!</v>
      </c>
    </row>
    <row r="660" spans="1:16" ht="15.75" hidden="1" x14ac:dyDescent="0.25">
      <c r="A660" s="14">
        <v>13</v>
      </c>
      <c r="B660" s="14" t="s">
        <v>1810</v>
      </c>
      <c r="C660" s="8" t="s">
        <v>1119</v>
      </c>
      <c r="D660" s="28" t="s">
        <v>2201</v>
      </c>
      <c r="E660" s="12" t="s">
        <v>1425</v>
      </c>
      <c r="F660" s="1"/>
      <c r="G660" s="1">
        <v>36.433</v>
      </c>
      <c r="H660" s="1">
        <v>0.113</v>
      </c>
      <c r="I660" s="12">
        <f t="shared" si="215"/>
        <v>36.545999999999999</v>
      </c>
      <c r="J660" s="12">
        <v>45063.873910000002</v>
      </c>
      <c r="K660" s="12">
        <f>481.5*0.6</f>
        <v>288.89999999999998</v>
      </c>
      <c r="L660" s="12">
        <f t="shared" si="216"/>
        <v>45352.773910000004</v>
      </c>
      <c r="M660" s="12">
        <f t="shared" si="214"/>
        <v>1240.9777789634982</v>
      </c>
      <c r="N660" s="12" t="e">
        <f t="shared" si="217"/>
        <v>#REF!</v>
      </c>
      <c r="O660" s="12" t="e">
        <f t="shared" si="218"/>
        <v>#REF!</v>
      </c>
      <c r="P660" s="12" t="e">
        <f t="shared" si="219"/>
        <v>#REF!</v>
      </c>
    </row>
    <row r="661" spans="1:16" ht="15.75" hidden="1" x14ac:dyDescent="0.25">
      <c r="A661" s="14">
        <v>13</v>
      </c>
      <c r="B661" s="14" t="s">
        <v>1850</v>
      </c>
      <c r="C661" s="8" t="s">
        <v>1119</v>
      </c>
      <c r="D661" s="28" t="s">
        <v>2202</v>
      </c>
      <c r="E661" s="12" t="s">
        <v>1426</v>
      </c>
      <c r="F661" s="1"/>
      <c r="G661" s="1">
        <v>97.56</v>
      </c>
      <c r="H661" s="1">
        <v>0.374</v>
      </c>
      <c r="I661" s="12">
        <f t="shared" si="215"/>
        <v>97.933999999999997</v>
      </c>
      <c r="J661" s="12">
        <v>92078.25937</v>
      </c>
      <c r="K661" s="12">
        <f>1195*0.6</f>
        <v>717</v>
      </c>
      <c r="L661" s="12">
        <f t="shared" si="216"/>
        <v>92795.25937</v>
      </c>
      <c r="M661" s="12">
        <f t="shared" si="214"/>
        <v>947.52853319582573</v>
      </c>
      <c r="N661" s="12" t="e">
        <f t="shared" si="217"/>
        <v>#REF!</v>
      </c>
      <c r="O661" s="12" t="e">
        <f t="shared" si="218"/>
        <v>#REF!</v>
      </c>
      <c r="P661" s="12" t="e">
        <f t="shared" si="219"/>
        <v>#REF!</v>
      </c>
    </row>
    <row r="662" spans="1:16" ht="15.75" hidden="1" x14ac:dyDescent="0.25">
      <c r="A662" s="14">
        <v>13</v>
      </c>
      <c r="B662" s="14" t="s">
        <v>1855</v>
      </c>
      <c r="C662" s="8" t="s">
        <v>1119</v>
      </c>
      <c r="D662" s="28" t="s">
        <v>2203</v>
      </c>
      <c r="E662" s="12" t="s">
        <v>1427</v>
      </c>
      <c r="F662" s="1"/>
      <c r="G662" s="1">
        <v>5.8739999999999997</v>
      </c>
      <c r="H662" s="1">
        <v>5.2999999999999999E-2</v>
      </c>
      <c r="I662" s="12">
        <f t="shared" si="215"/>
        <v>5.9269999999999996</v>
      </c>
      <c r="J662" s="12">
        <v>14459.36429</v>
      </c>
      <c r="K662" s="12"/>
      <c r="L662" s="12">
        <f t="shared" si="216"/>
        <v>14459.36429</v>
      </c>
      <c r="M662" s="12">
        <f t="shared" si="214"/>
        <v>2439.5755508689049</v>
      </c>
      <c r="N662" s="12" t="e">
        <f t="shared" si="217"/>
        <v>#REF!</v>
      </c>
      <c r="O662" s="12" t="e">
        <f t="shared" si="218"/>
        <v>#REF!</v>
      </c>
      <c r="P662" s="12" t="e">
        <f t="shared" si="219"/>
        <v>#REF!</v>
      </c>
    </row>
    <row r="663" spans="1:16" ht="15.75" hidden="1" x14ac:dyDescent="0.25">
      <c r="A663" s="14">
        <v>13</v>
      </c>
      <c r="B663" s="14" t="s">
        <v>1818</v>
      </c>
      <c r="C663" s="8" t="s">
        <v>1119</v>
      </c>
      <c r="D663" s="28" t="s">
        <v>2204</v>
      </c>
      <c r="E663" s="12" t="s">
        <v>1428</v>
      </c>
      <c r="F663" s="1"/>
      <c r="G663" s="1">
        <v>28.773</v>
      </c>
      <c r="H663" s="1">
        <v>5.6000000000000001E-2</v>
      </c>
      <c r="I663" s="12">
        <f t="shared" si="215"/>
        <v>28.829000000000001</v>
      </c>
      <c r="J663" s="12">
        <v>25201.964019999999</v>
      </c>
      <c r="K663" s="12"/>
      <c r="L663" s="12">
        <f t="shared" si="216"/>
        <v>25201.964019999999</v>
      </c>
      <c r="M663" s="12">
        <f t="shared" si="214"/>
        <v>874.18793645287724</v>
      </c>
      <c r="N663" s="12" t="e">
        <f t="shared" si="217"/>
        <v>#REF!</v>
      </c>
      <c r="O663" s="12" t="e">
        <f t="shared" si="218"/>
        <v>#REF!</v>
      </c>
      <c r="P663" s="12" t="e">
        <f t="shared" si="219"/>
        <v>#REF!</v>
      </c>
    </row>
    <row r="664" spans="1:16" ht="15.75" hidden="1" x14ac:dyDescent="0.25">
      <c r="A664" s="14">
        <v>13</v>
      </c>
      <c r="B664" s="14" t="s">
        <v>1820</v>
      </c>
      <c r="C664" s="8" t="s">
        <v>1119</v>
      </c>
      <c r="D664" s="28" t="s">
        <v>2205</v>
      </c>
      <c r="E664" s="12" t="s">
        <v>1429</v>
      </c>
      <c r="F664" s="1"/>
      <c r="G664" s="1">
        <v>34.969000000000001</v>
      </c>
      <c r="H664" s="1">
        <v>7.3999999999999996E-2</v>
      </c>
      <c r="I664" s="12">
        <f t="shared" si="215"/>
        <v>35.042999999999999</v>
      </c>
      <c r="J664" s="12">
        <v>51611.731930000002</v>
      </c>
      <c r="K664" s="12">
        <f>941.3*0.6-568.6*0.6</f>
        <v>223.61999999999995</v>
      </c>
      <c r="L664" s="12">
        <f t="shared" si="216"/>
        <v>51835.351930000004</v>
      </c>
      <c r="M664" s="12">
        <f t="shared" si="214"/>
        <v>1479.192761179123</v>
      </c>
      <c r="N664" s="12" t="e">
        <f t="shared" si="217"/>
        <v>#REF!</v>
      </c>
      <c r="O664" s="12" t="e">
        <f t="shared" si="218"/>
        <v>#REF!</v>
      </c>
      <c r="P664" s="12" t="e">
        <f t="shared" si="219"/>
        <v>#REF!</v>
      </c>
    </row>
    <row r="665" spans="1:16" ht="15.75" hidden="1" x14ac:dyDescent="0.25">
      <c r="A665" s="14">
        <v>13</v>
      </c>
      <c r="B665" s="14" t="s">
        <v>1822</v>
      </c>
      <c r="C665" s="8" t="s">
        <v>1119</v>
      </c>
      <c r="D665" s="28" t="s">
        <v>2206</v>
      </c>
      <c r="E665" s="12" t="s">
        <v>1430</v>
      </c>
      <c r="F665" s="1"/>
      <c r="G665" s="1">
        <v>59.325000000000003</v>
      </c>
      <c r="H665" s="1">
        <v>0.2</v>
      </c>
      <c r="I665" s="12">
        <f t="shared" si="215"/>
        <v>59.525000000000006</v>
      </c>
      <c r="J665" s="12">
        <v>95516.796369999996</v>
      </c>
      <c r="K665" s="12">
        <f>1279.7*0.6</f>
        <v>767.82</v>
      </c>
      <c r="L665" s="12">
        <f t="shared" si="216"/>
        <v>96284.616370000003</v>
      </c>
      <c r="M665" s="12">
        <f t="shared" si="214"/>
        <v>1617.5492040319193</v>
      </c>
      <c r="N665" s="12" t="e">
        <f t="shared" si="217"/>
        <v>#REF!</v>
      </c>
      <c r="O665" s="12" t="e">
        <f t="shared" si="218"/>
        <v>#REF!</v>
      </c>
      <c r="P665" s="12" t="e">
        <f t="shared" si="219"/>
        <v>#REF!</v>
      </c>
    </row>
    <row r="666" spans="1:16" ht="15.75" hidden="1" x14ac:dyDescent="0.25">
      <c r="A666" s="14">
        <v>13</v>
      </c>
      <c r="B666" s="14" t="s">
        <v>1824</v>
      </c>
      <c r="C666" s="8" t="s">
        <v>1119</v>
      </c>
      <c r="D666" s="28" t="s">
        <v>2207</v>
      </c>
      <c r="E666" s="12" t="s">
        <v>1431</v>
      </c>
      <c r="F666" s="1"/>
      <c r="G666" s="1">
        <v>28.867000000000001</v>
      </c>
      <c r="H666" s="1">
        <v>0.253</v>
      </c>
      <c r="I666" s="12">
        <f t="shared" si="215"/>
        <v>29.12</v>
      </c>
      <c r="J666" s="12">
        <v>41989.611530000002</v>
      </c>
      <c r="K666" s="12">
        <f>408.2*0.6</f>
        <v>244.92</v>
      </c>
      <c r="L666" s="12">
        <f t="shared" si="216"/>
        <v>42234.53153</v>
      </c>
      <c r="M666" s="12">
        <f t="shared" si="214"/>
        <v>1450.3616596840659</v>
      </c>
      <c r="N666" s="12" t="e">
        <f t="shared" si="217"/>
        <v>#REF!</v>
      </c>
      <c r="O666" s="12" t="e">
        <f t="shared" si="218"/>
        <v>#REF!</v>
      </c>
      <c r="P666" s="12" t="e">
        <f t="shared" si="219"/>
        <v>#REF!</v>
      </c>
    </row>
    <row r="667" spans="1:16" ht="15.75" hidden="1" x14ac:dyDescent="0.25">
      <c r="A667" s="14">
        <v>13</v>
      </c>
      <c r="B667" s="14" t="s">
        <v>1826</v>
      </c>
      <c r="C667" s="8" t="s">
        <v>1119</v>
      </c>
      <c r="D667" s="28" t="s">
        <v>2208</v>
      </c>
      <c r="E667" s="12" t="s">
        <v>1432</v>
      </c>
      <c r="F667" s="1"/>
      <c r="G667" s="1">
        <v>81.356999999999999</v>
      </c>
      <c r="H667" s="1">
        <v>0.316</v>
      </c>
      <c r="I667" s="12">
        <f t="shared" si="215"/>
        <v>81.673000000000002</v>
      </c>
      <c r="J667" s="12">
        <v>97180.431909999999</v>
      </c>
      <c r="K667" s="12">
        <f>709.2*0.6</f>
        <v>425.52000000000004</v>
      </c>
      <c r="L667" s="12">
        <f t="shared" si="216"/>
        <v>97605.951910000003</v>
      </c>
      <c r="M667" s="12">
        <f t="shared" si="214"/>
        <v>1195.0822414996387</v>
      </c>
      <c r="N667" s="12" t="e">
        <f t="shared" si="217"/>
        <v>#REF!</v>
      </c>
      <c r="O667" s="12" t="e">
        <f t="shared" si="218"/>
        <v>#REF!</v>
      </c>
      <c r="P667" s="12" t="e">
        <f t="shared" si="219"/>
        <v>#REF!</v>
      </c>
    </row>
    <row r="668" spans="1:16" ht="15.75" hidden="1" x14ac:dyDescent="0.25">
      <c r="A668" s="15">
        <v>13</v>
      </c>
      <c r="B668" s="15" t="s">
        <v>1126</v>
      </c>
      <c r="C668" s="10" t="s">
        <v>1157</v>
      </c>
      <c r="D668" s="29"/>
      <c r="E668" s="37" t="s">
        <v>1158</v>
      </c>
      <c r="F668" s="6"/>
      <c r="G668" s="37">
        <f t="shared" ref="G668:L668" si="220">SUM(G669:G688)</f>
        <v>1120.751</v>
      </c>
      <c r="H668" s="37">
        <f>SUM(H669:H688)</f>
        <v>1.5220000000000005</v>
      </c>
      <c r="I668" s="37">
        <f t="shared" si="220"/>
        <v>1122.2730000000001</v>
      </c>
      <c r="J668" s="37">
        <f t="shared" si="220"/>
        <v>1051085.8003100001</v>
      </c>
      <c r="K668" s="37">
        <f t="shared" si="220"/>
        <v>4819.74</v>
      </c>
      <c r="L668" s="37">
        <f t="shared" si="220"/>
        <v>1055905.5403099998</v>
      </c>
      <c r="M668" s="37">
        <f t="shared" si="214"/>
        <v>940.86335527095434</v>
      </c>
      <c r="N668" s="37" t="e">
        <f>M668/$M$1429</f>
        <v>#REF!</v>
      </c>
      <c r="O668" s="37" t="e">
        <f>SUM(O669:O688)</f>
        <v>#REF!</v>
      </c>
      <c r="P668" s="37" t="e">
        <f>SUM(P669:P688)</f>
        <v>#REF!</v>
      </c>
    </row>
    <row r="669" spans="1:16" ht="15.75" hidden="1" x14ac:dyDescent="0.25">
      <c r="A669" s="14">
        <v>13</v>
      </c>
      <c r="B669" s="14" t="s">
        <v>1824</v>
      </c>
      <c r="C669" s="8" t="s">
        <v>1129</v>
      </c>
      <c r="D669" s="28" t="s">
        <v>2209</v>
      </c>
      <c r="E669" s="12" t="s">
        <v>1433</v>
      </c>
      <c r="F669" s="1"/>
      <c r="G669" s="1">
        <v>56.383000000000003</v>
      </c>
      <c r="H669" s="1">
        <v>0.121</v>
      </c>
      <c r="I669" s="12">
        <f t="shared" ref="I669:I688" si="221">H669+G669</f>
        <v>56.504000000000005</v>
      </c>
      <c r="J669" s="12">
        <v>67621.522209999996</v>
      </c>
      <c r="K669" s="12">
        <f>446.8*0.6</f>
        <v>268.08</v>
      </c>
      <c r="L669" s="12">
        <f t="shared" ref="L669:L688" si="222">J669+K669</f>
        <v>67889.602209999997</v>
      </c>
      <c r="M669" s="12">
        <f t="shared" si="214"/>
        <v>1201.5008178182075</v>
      </c>
      <c r="N669" s="12" t="e">
        <f t="shared" ref="N669:N688" si="223">M669/$M$1432</f>
        <v>#REF!</v>
      </c>
      <c r="O669" s="12" t="e">
        <f t="shared" ref="O669:O688" si="224">ROUND(IF(N669&lt;110%,0,(M669-$M$1432*1.1)*0.8)*I669,1)</f>
        <v>#REF!</v>
      </c>
      <c r="P669" s="12" t="e">
        <f t="shared" ref="P669:P688" si="225">ROUND(IF(N669&gt;90%,0,(-M669+$M$1432*0.9)*0.8)*I669,1)</f>
        <v>#REF!</v>
      </c>
    </row>
    <row r="670" spans="1:16" ht="15.75" hidden="1" x14ac:dyDescent="0.25">
      <c r="A670" s="14">
        <v>13</v>
      </c>
      <c r="B670" s="14" t="s">
        <v>1826</v>
      </c>
      <c r="C670" s="8" t="s">
        <v>1129</v>
      </c>
      <c r="D670" s="28" t="s">
        <v>2210</v>
      </c>
      <c r="E670" s="12" t="s">
        <v>1434</v>
      </c>
      <c r="F670" s="1"/>
      <c r="G670" s="1">
        <v>46.405999999999999</v>
      </c>
      <c r="H670" s="1">
        <v>5.5E-2</v>
      </c>
      <c r="I670" s="12">
        <f t="shared" si="221"/>
        <v>46.460999999999999</v>
      </c>
      <c r="J670" s="12">
        <v>31586.986779999999</v>
      </c>
      <c r="K670" s="12">
        <f>458.7*0.6</f>
        <v>275.21999999999997</v>
      </c>
      <c r="L670" s="12">
        <f t="shared" si="222"/>
        <v>31862.20678</v>
      </c>
      <c r="M670" s="12">
        <f t="shared" si="214"/>
        <v>685.78392156862753</v>
      </c>
      <c r="N670" s="12" t="e">
        <f t="shared" si="223"/>
        <v>#REF!</v>
      </c>
      <c r="O670" s="12" t="e">
        <f t="shared" si="224"/>
        <v>#REF!</v>
      </c>
      <c r="P670" s="12" t="e">
        <f t="shared" si="225"/>
        <v>#REF!</v>
      </c>
    </row>
    <row r="671" spans="1:16" ht="15.75" hidden="1" x14ac:dyDescent="0.25">
      <c r="A671" s="14">
        <v>13</v>
      </c>
      <c r="B671" s="14">
        <v>10</v>
      </c>
      <c r="C671" s="8" t="s">
        <v>1129</v>
      </c>
      <c r="D671" s="28" t="s">
        <v>2211</v>
      </c>
      <c r="E671" s="12" t="s">
        <v>1435</v>
      </c>
      <c r="F671" s="1"/>
      <c r="G671" s="1">
        <v>59.552999999999997</v>
      </c>
      <c r="H671" s="1">
        <v>8.7999999999999995E-2</v>
      </c>
      <c r="I671" s="12">
        <f t="shared" si="221"/>
        <v>59.640999999999998</v>
      </c>
      <c r="J671" s="12">
        <f>74773.04171-3993.77123</f>
        <v>70779.270480000007</v>
      </c>
      <c r="K671" s="12">
        <f>565.2*0.6</f>
        <v>339.12</v>
      </c>
      <c r="L671" s="12">
        <f t="shared" si="222"/>
        <v>71118.390480000002</v>
      </c>
      <c r="M671" s="12">
        <f t="shared" si="214"/>
        <v>1192.4412816686508</v>
      </c>
      <c r="N671" s="12" t="e">
        <f t="shared" si="223"/>
        <v>#REF!</v>
      </c>
      <c r="O671" s="12" t="e">
        <f t="shared" si="224"/>
        <v>#REF!</v>
      </c>
      <c r="P671" s="12" t="e">
        <f t="shared" si="225"/>
        <v>#REF!</v>
      </c>
    </row>
    <row r="672" spans="1:16" ht="15.75" hidden="1" x14ac:dyDescent="0.25">
      <c r="A672" s="14">
        <v>13</v>
      </c>
      <c r="B672" s="14">
        <v>11</v>
      </c>
      <c r="C672" s="8" t="s">
        <v>1129</v>
      </c>
      <c r="D672" s="28" t="s">
        <v>2212</v>
      </c>
      <c r="E672" s="12" t="s">
        <v>1436</v>
      </c>
      <c r="F672" s="1"/>
      <c r="G672" s="1">
        <v>74.703999999999994</v>
      </c>
      <c r="H672" s="1">
        <v>0.06</v>
      </c>
      <c r="I672" s="12">
        <f t="shared" si="221"/>
        <v>74.763999999999996</v>
      </c>
      <c r="J672" s="12">
        <v>24070.756799999999</v>
      </c>
      <c r="K672" s="12"/>
      <c r="L672" s="12">
        <f t="shared" si="222"/>
        <v>24070.756799999999</v>
      </c>
      <c r="M672" s="12">
        <f t="shared" si="214"/>
        <v>321.95651383018566</v>
      </c>
      <c r="N672" s="12" t="e">
        <f t="shared" si="223"/>
        <v>#REF!</v>
      </c>
      <c r="O672" s="12" t="e">
        <f t="shared" si="224"/>
        <v>#REF!</v>
      </c>
      <c r="P672" s="12" t="e">
        <f t="shared" si="225"/>
        <v>#REF!</v>
      </c>
    </row>
    <row r="673" spans="1:16" ht="15.75" hidden="1" x14ac:dyDescent="0.25">
      <c r="A673" s="14">
        <v>13</v>
      </c>
      <c r="B673" s="14">
        <v>12</v>
      </c>
      <c r="C673" s="8" t="s">
        <v>1129</v>
      </c>
      <c r="D673" s="28" t="s">
        <v>2213</v>
      </c>
      <c r="E673" s="12" t="s">
        <v>1437</v>
      </c>
      <c r="F673" s="1"/>
      <c r="G673" s="1">
        <v>33.165999999999997</v>
      </c>
      <c r="H673" s="1">
        <v>0.04</v>
      </c>
      <c r="I673" s="12">
        <f t="shared" si="221"/>
        <v>33.205999999999996</v>
      </c>
      <c r="J673" s="12">
        <v>23259.432090000002</v>
      </c>
      <c r="K673" s="12">
        <f>461.3*0.6</f>
        <v>276.77999999999997</v>
      </c>
      <c r="L673" s="12">
        <f t="shared" si="222"/>
        <v>23536.212090000001</v>
      </c>
      <c r="M673" s="12">
        <f t="shared" si="214"/>
        <v>708.79395561043191</v>
      </c>
      <c r="N673" s="12" t="e">
        <f t="shared" si="223"/>
        <v>#REF!</v>
      </c>
      <c r="O673" s="12" t="e">
        <f t="shared" si="224"/>
        <v>#REF!</v>
      </c>
      <c r="P673" s="12" t="e">
        <f t="shared" si="225"/>
        <v>#REF!</v>
      </c>
    </row>
    <row r="674" spans="1:16" ht="15.75" hidden="1" x14ac:dyDescent="0.25">
      <c r="A674" s="14">
        <v>13</v>
      </c>
      <c r="B674" s="14">
        <v>13</v>
      </c>
      <c r="C674" s="8" t="s">
        <v>1129</v>
      </c>
      <c r="D674" s="28" t="s">
        <v>2214</v>
      </c>
      <c r="E674" s="12" t="s">
        <v>1438</v>
      </c>
      <c r="F674" s="1"/>
      <c r="G674" s="1">
        <v>103.447</v>
      </c>
      <c r="H674" s="1">
        <v>0.13500000000000001</v>
      </c>
      <c r="I674" s="12">
        <f t="shared" si="221"/>
        <v>103.58200000000001</v>
      </c>
      <c r="J674" s="12">
        <f>69385.15067-2179.10578</f>
        <v>67206.044890000005</v>
      </c>
      <c r="K674" s="12">
        <f>576.8*0.6</f>
        <v>346.08</v>
      </c>
      <c r="L674" s="12">
        <f t="shared" si="222"/>
        <v>67552.124890000006</v>
      </c>
      <c r="M674" s="12">
        <f t="shared" si="214"/>
        <v>652.16084734799483</v>
      </c>
      <c r="N674" s="12" t="e">
        <f t="shared" si="223"/>
        <v>#REF!</v>
      </c>
      <c r="O674" s="12" t="e">
        <f t="shared" si="224"/>
        <v>#REF!</v>
      </c>
      <c r="P674" s="12" t="e">
        <f t="shared" si="225"/>
        <v>#REF!</v>
      </c>
    </row>
    <row r="675" spans="1:16" ht="15.75" hidden="1" x14ac:dyDescent="0.25">
      <c r="A675" s="14">
        <v>13</v>
      </c>
      <c r="B675" s="14">
        <v>14</v>
      </c>
      <c r="C675" s="8" t="s">
        <v>1129</v>
      </c>
      <c r="D675" s="28" t="s">
        <v>2215</v>
      </c>
      <c r="E675" s="12" t="s">
        <v>1439</v>
      </c>
      <c r="F675" s="1"/>
      <c r="G675" s="1">
        <v>69.406999999999996</v>
      </c>
      <c r="H675" s="1">
        <v>6.0999999999999999E-2</v>
      </c>
      <c r="I675" s="12">
        <f t="shared" si="221"/>
        <v>69.468000000000004</v>
      </c>
      <c r="J675" s="12">
        <v>72020.361269999994</v>
      </c>
      <c r="K675" s="12">
        <f>386.4*0.6</f>
        <v>231.83999999999997</v>
      </c>
      <c r="L675" s="12">
        <f t="shared" si="222"/>
        <v>72252.20126999999</v>
      </c>
      <c r="M675" s="12">
        <f t="shared" si="214"/>
        <v>1040.0789035239245</v>
      </c>
      <c r="N675" s="12" t="e">
        <f t="shared" si="223"/>
        <v>#REF!</v>
      </c>
      <c r="O675" s="12" t="e">
        <f t="shared" si="224"/>
        <v>#REF!</v>
      </c>
      <c r="P675" s="12" t="e">
        <f t="shared" si="225"/>
        <v>#REF!</v>
      </c>
    </row>
    <row r="676" spans="1:16" ht="15.75" hidden="1" x14ac:dyDescent="0.25">
      <c r="A676" s="14">
        <v>13</v>
      </c>
      <c r="B676" s="14">
        <v>15</v>
      </c>
      <c r="C676" s="8" t="s">
        <v>1129</v>
      </c>
      <c r="D676" s="28" t="s">
        <v>2216</v>
      </c>
      <c r="E676" s="12" t="s">
        <v>1440</v>
      </c>
      <c r="F676" s="1"/>
      <c r="G676" s="1">
        <v>30.704000000000001</v>
      </c>
      <c r="H676" s="1">
        <v>9.4E-2</v>
      </c>
      <c r="I676" s="12">
        <f t="shared" si="221"/>
        <v>30.798000000000002</v>
      </c>
      <c r="J676" s="12">
        <f>66022.15642-36315.786</f>
        <v>29706.370419999999</v>
      </c>
      <c r="K676" s="12"/>
      <c r="L676" s="12">
        <f t="shared" si="222"/>
        <v>29706.370419999999</v>
      </c>
      <c r="M676" s="12">
        <f t="shared" si="214"/>
        <v>964.555179557114</v>
      </c>
      <c r="N676" s="12" t="e">
        <f t="shared" si="223"/>
        <v>#REF!</v>
      </c>
      <c r="O676" s="12" t="e">
        <f t="shared" si="224"/>
        <v>#REF!</v>
      </c>
      <c r="P676" s="12" t="e">
        <f t="shared" si="225"/>
        <v>#REF!</v>
      </c>
    </row>
    <row r="677" spans="1:16" ht="15.75" hidden="1" x14ac:dyDescent="0.25">
      <c r="A677" s="14">
        <v>13</v>
      </c>
      <c r="B677" s="14">
        <v>16</v>
      </c>
      <c r="C677" s="8" t="s">
        <v>1129</v>
      </c>
      <c r="D677" s="28" t="s">
        <v>2217</v>
      </c>
      <c r="E677" s="12" t="s">
        <v>1441</v>
      </c>
      <c r="F677" s="1"/>
      <c r="G677" s="1">
        <v>45.283000000000001</v>
      </c>
      <c r="H677" s="1">
        <v>5.0999999999999997E-2</v>
      </c>
      <c r="I677" s="12">
        <f t="shared" si="221"/>
        <v>45.334000000000003</v>
      </c>
      <c r="J677" s="12">
        <f>33951.76782-3147.909</f>
        <v>30803.858820000001</v>
      </c>
      <c r="K677" s="12">
        <f>601*0.6</f>
        <v>360.59999999999997</v>
      </c>
      <c r="L677" s="12">
        <f t="shared" si="222"/>
        <v>31164.45882</v>
      </c>
      <c r="M677" s="12">
        <f t="shared" si="214"/>
        <v>687.44118807076359</v>
      </c>
      <c r="N677" s="12" t="e">
        <f t="shared" si="223"/>
        <v>#REF!</v>
      </c>
      <c r="O677" s="12" t="e">
        <f t="shared" si="224"/>
        <v>#REF!</v>
      </c>
      <c r="P677" s="12" t="e">
        <f t="shared" si="225"/>
        <v>#REF!</v>
      </c>
    </row>
    <row r="678" spans="1:16" ht="15.75" hidden="1" x14ac:dyDescent="0.25">
      <c r="A678" s="14">
        <v>13</v>
      </c>
      <c r="B678" s="14">
        <v>17</v>
      </c>
      <c r="C678" s="8" t="s">
        <v>1129</v>
      </c>
      <c r="D678" s="28" t="s">
        <v>2218</v>
      </c>
      <c r="E678" s="12" t="s">
        <v>1442</v>
      </c>
      <c r="F678" s="1"/>
      <c r="G678" s="1">
        <v>16.62</v>
      </c>
      <c r="H678" s="1">
        <v>4.1000000000000002E-2</v>
      </c>
      <c r="I678" s="12">
        <f t="shared" si="221"/>
        <v>16.661000000000001</v>
      </c>
      <c r="J678" s="12">
        <f>7434.31032-1083.376</f>
        <v>6350.9343199999994</v>
      </c>
      <c r="K678" s="12"/>
      <c r="L678" s="12">
        <f t="shared" si="222"/>
        <v>6350.9343199999994</v>
      </c>
      <c r="M678" s="12">
        <f t="shared" si="214"/>
        <v>381.18566232519049</v>
      </c>
      <c r="N678" s="12" t="e">
        <f t="shared" si="223"/>
        <v>#REF!</v>
      </c>
      <c r="O678" s="12" t="e">
        <f t="shared" si="224"/>
        <v>#REF!</v>
      </c>
      <c r="P678" s="12" t="e">
        <f t="shared" si="225"/>
        <v>#REF!</v>
      </c>
    </row>
    <row r="679" spans="1:16" ht="15.75" hidden="1" x14ac:dyDescent="0.25">
      <c r="A679" s="14">
        <v>13</v>
      </c>
      <c r="B679" s="14">
        <v>18</v>
      </c>
      <c r="C679" s="8" t="s">
        <v>1129</v>
      </c>
      <c r="D679" s="28" t="s">
        <v>2219</v>
      </c>
      <c r="E679" s="12" t="s">
        <v>1443</v>
      </c>
      <c r="F679" s="1"/>
      <c r="G679" s="1">
        <v>38.725000000000001</v>
      </c>
      <c r="H679" s="1">
        <v>4.2000000000000003E-2</v>
      </c>
      <c r="I679" s="12">
        <f t="shared" si="221"/>
        <v>38.767000000000003</v>
      </c>
      <c r="J679" s="12">
        <v>33271.404699999999</v>
      </c>
      <c r="K679" s="12">
        <f>371.3*0.6</f>
        <v>222.78</v>
      </c>
      <c r="L679" s="12">
        <f t="shared" si="222"/>
        <v>33494.184699999998</v>
      </c>
      <c r="M679" s="12">
        <f t="shared" si="214"/>
        <v>863.98701730853554</v>
      </c>
      <c r="N679" s="12" t="e">
        <f t="shared" si="223"/>
        <v>#REF!</v>
      </c>
      <c r="O679" s="12" t="e">
        <f t="shared" si="224"/>
        <v>#REF!</v>
      </c>
      <c r="P679" s="12" t="e">
        <f t="shared" si="225"/>
        <v>#REF!</v>
      </c>
    </row>
    <row r="680" spans="1:16" ht="15.75" hidden="1" x14ac:dyDescent="0.25">
      <c r="A680" s="14">
        <v>13</v>
      </c>
      <c r="B680" s="14">
        <v>19</v>
      </c>
      <c r="C680" s="8" t="s">
        <v>1129</v>
      </c>
      <c r="D680" s="28" t="s">
        <v>2220</v>
      </c>
      <c r="E680" s="12" t="s">
        <v>1444</v>
      </c>
      <c r="F680" s="1"/>
      <c r="G680" s="1">
        <v>68.891999999999996</v>
      </c>
      <c r="H680" s="1">
        <v>0.154</v>
      </c>
      <c r="I680" s="12">
        <f t="shared" si="221"/>
        <v>69.045999999999992</v>
      </c>
      <c r="J680" s="12">
        <f>108620.48423-2187.088-25453.055-5739.41-6458.08</f>
        <v>68782.851229999986</v>
      </c>
      <c r="K680" s="12">
        <f>614*0.6</f>
        <v>368.4</v>
      </c>
      <c r="L680" s="12">
        <f t="shared" si="222"/>
        <v>69151.25122999998</v>
      </c>
      <c r="M680" s="12">
        <f t="shared" si="214"/>
        <v>1001.5243639023258</v>
      </c>
      <c r="N680" s="12" t="e">
        <f t="shared" si="223"/>
        <v>#REF!</v>
      </c>
      <c r="O680" s="12" t="e">
        <f t="shared" si="224"/>
        <v>#REF!</v>
      </c>
      <c r="P680" s="12" t="e">
        <f t="shared" si="225"/>
        <v>#REF!</v>
      </c>
    </row>
    <row r="681" spans="1:16" ht="15.75" hidden="1" x14ac:dyDescent="0.25">
      <c r="A681" s="14">
        <v>13</v>
      </c>
      <c r="B681" s="14">
        <v>20</v>
      </c>
      <c r="C681" s="8" t="s">
        <v>1129</v>
      </c>
      <c r="D681" s="28" t="s">
        <v>2221</v>
      </c>
      <c r="E681" s="12" t="s">
        <v>1445</v>
      </c>
      <c r="F681" s="1"/>
      <c r="G681" s="1">
        <v>47.610999999999997</v>
      </c>
      <c r="H681" s="1">
        <v>3.5000000000000003E-2</v>
      </c>
      <c r="I681" s="12">
        <f t="shared" si="221"/>
        <v>47.645999999999994</v>
      </c>
      <c r="J681" s="12">
        <v>37031.969920000003</v>
      </c>
      <c r="K681" s="12">
        <f>390.3*0.6</f>
        <v>234.18</v>
      </c>
      <c r="L681" s="12">
        <f t="shared" si="222"/>
        <v>37266.149920000003</v>
      </c>
      <c r="M681" s="12">
        <f t="shared" si="214"/>
        <v>782.14645342736026</v>
      </c>
      <c r="N681" s="12" t="e">
        <f t="shared" si="223"/>
        <v>#REF!</v>
      </c>
      <c r="O681" s="12" t="e">
        <f t="shared" si="224"/>
        <v>#REF!</v>
      </c>
      <c r="P681" s="12" t="e">
        <f t="shared" si="225"/>
        <v>#REF!</v>
      </c>
    </row>
    <row r="682" spans="1:16" ht="15.75" hidden="1" x14ac:dyDescent="0.25">
      <c r="A682" s="14">
        <v>13</v>
      </c>
      <c r="B682" s="14">
        <v>21</v>
      </c>
      <c r="C682" s="8" t="s">
        <v>1129</v>
      </c>
      <c r="D682" s="28" t="s">
        <v>2222</v>
      </c>
      <c r="E682" s="12" t="s">
        <v>1446</v>
      </c>
      <c r="F682" s="1"/>
      <c r="G682" s="1">
        <v>16.95</v>
      </c>
      <c r="H682" s="1">
        <v>1.9E-2</v>
      </c>
      <c r="I682" s="12">
        <f t="shared" si="221"/>
        <v>16.968999999999998</v>
      </c>
      <c r="J682" s="12">
        <f>13862.97724-4744.92-1549.164</f>
        <v>7568.8932400000003</v>
      </c>
      <c r="K682" s="12">
        <f>568.6*0.6</f>
        <v>341.16</v>
      </c>
      <c r="L682" s="12">
        <f t="shared" si="222"/>
        <v>7910.0532400000002</v>
      </c>
      <c r="M682" s="12">
        <f t="shared" si="214"/>
        <v>466.1472826919678</v>
      </c>
      <c r="N682" s="12" t="e">
        <f t="shared" si="223"/>
        <v>#REF!</v>
      </c>
      <c r="O682" s="12" t="e">
        <f t="shared" si="224"/>
        <v>#REF!</v>
      </c>
      <c r="P682" s="12" t="e">
        <f t="shared" si="225"/>
        <v>#REF!</v>
      </c>
    </row>
    <row r="683" spans="1:16" ht="15.75" hidden="1" x14ac:dyDescent="0.25">
      <c r="A683" s="14">
        <v>13</v>
      </c>
      <c r="B683" s="14">
        <v>22</v>
      </c>
      <c r="C683" s="8" t="s">
        <v>1129</v>
      </c>
      <c r="D683" s="28" t="s">
        <v>2223</v>
      </c>
      <c r="E683" s="12" t="s">
        <v>1447</v>
      </c>
      <c r="F683" s="1"/>
      <c r="G683" s="1">
        <v>39.076000000000001</v>
      </c>
      <c r="H683" s="1">
        <v>4.8000000000000001E-2</v>
      </c>
      <c r="I683" s="12">
        <f t="shared" si="221"/>
        <v>39.124000000000002</v>
      </c>
      <c r="J683" s="12">
        <f>36423.90867-5211.948</f>
        <v>31211.960669999997</v>
      </c>
      <c r="K683" s="12">
        <f>(447)*0.6</f>
        <v>268.2</v>
      </c>
      <c r="L683" s="12">
        <f t="shared" si="222"/>
        <v>31480.160669999997</v>
      </c>
      <c r="M683" s="12">
        <f t="shared" si="214"/>
        <v>804.62531106226345</v>
      </c>
      <c r="N683" s="12" t="e">
        <f t="shared" si="223"/>
        <v>#REF!</v>
      </c>
      <c r="O683" s="12" t="e">
        <f t="shared" si="224"/>
        <v>#REF!</v>
      </c>
      <c r="P683" s="12" t="e">
        <f t="shared" si="225"/>
        <v>#REF!</v>
      </c>
    </row>
    <row r="684" spans="1:16" ht="15.75" hidden="1" x14ac:dyDescent="0.25">
      <c r="A684" s="14">
        <v>13</v>
      </c>
      <c r="B684" s="14">
        <v>23</v>
      </c>
      <c r="C684" s="8" t="s">
        <v>1129</v>
      </c>
      <c r="D684" s="28" t="s">
        <v>2224</v>
      </c>
      <c r="E684" s="12" t="s">
        <v>1448</v>
      </c>
      <c r="F684" s="1"/>
      <c r="G684" s="1">
        <v>78.816999999999993</v>
      </c>
      <c r="H684" s="1">
        <v>0.09</v>
      </c>
      <c r="I684" s="12">
        <f t="shared" si="221"/>
        <v>78.906999999999996</v>
      </c>
      <c r="J684" s="12">
        <f>120913.92623-11329.711</f>
        <v>109584.21523</v>
      </c>
      <c r="K684" s="12">
        <f>561*0.6</f>
        <v>336.59999999999997</v>
      </c>
      <c r="L684" s="12">
        <f t="shared" si="222"/>
        <v>109920.81523000001</v>
      </c>
      <c r="M684" s="12">
        <f t="shared" si="214"/>
        <v>1393.0426353808916</v>
      </c>
      <c r="N684" s="12" t="e">
        <f t="shared" si="223"/>
        <v>#REF!</v>
      </c>
      <c r="O684" s="12" t="e">
        <f t="shared" si="224"/>
        <v>#REF!</v>
      </c>
      <c r="P684" s="12" t="e">
        <f t="shared" si="225"/>
        <v>#REF!</v>
      </c>
    </row>
    <row r="685" spans="1:16" ht="15.75" hidden="1" x14ac:dyDescent="0.25">
      <c r="A685" s="14">
        <v>13</v>
      </c>
      <c r="B685" s="14">
        <v>24</v>
      </c>
      <c r="C685" s="8" t="s">
        <v>1129</v>
      </c>
      <c r="D685" s="28" t="s">
        <v>2225</v>
      </c>
      <c r="E685" s="12" t="s">
        <v>1449</v>
      </c>
      <c r="F685" s="1"/>
      <c r="G685" s="1">
        <v>61.85</v>
      </c>
      <c r="H685" s="1">
        <v>8.6999999999999994E-2</v>
      </c>
      <c r="I685" s="12">
        <f t="shared" si="221"/>
        <v>61.937000000000005</v>
      </c>
      <c r="J685" s="12">
        <v>30210.097439999998</v>
      </c>
      <c r="K685" s="12">
        <f>487.2*0.6</f>
        <v>292.32</v>
      </c>
      <c r="L685" s="12">
        <f t="shared" si="222"/>
        <v>30502.417439999997</v>
      </c>
      <c r="M685" s="12">
        <f t="shared" si="214"/>
        <v>492.4748928750181</v>
      </c>
      <c r="N685" s="12" t="e">
        <f t="shared" si="223"/>
        <v>#REF!</v>
      </c>
      <c r="O685" s="12" t="e">
        <f t="shared" si="224"/>
        <v>#REF!</v>
      </c>
      <c r="P685" s="12" t="e">
        <f t="shared" si="225"/>
        <v>#REF!</v>
      </c>
    </row>
    <row r="686" spans="1:16" ht="15.75" hidden="1" x14ac:dyDescent="0.25">
      <c r="A686" s="14">
        <v>13</v>
      </c>
      <c r="B686" s="14">
        <v>25</v>
      </c>
      <c r="C686" s="8" t="s">
        <v>1129</v>
      </c>
      <c r="D686" s="28" t="s">
        <v>2226</v>
      </c>
      <c r="E686" s="12" t="s">
        <v>1450</v>
      </c>
      <c r="F686" s="1"/>
      <c r="G686" s="1">
        <v>57.786999999999999</v>
      </c>
      <c r="H686" s="1">
        <v>0.05</v>
      </c>
      <c r="I686" s="12">
        <f t="shared" si="221"/>
        <v>57.836999999999996</v>
      </c>
      <c r="J686" s="12">
        <v>115211.11685000001</v>
      </c>
      <c r="K686" s="12"/>
      <c r="L686" s="12">
        <f t="shared" si="222"/>
        <v>115211.11685000001</v>
      </c>
      <c r="M686" s="12">
        <f t="shared" si="214"/>
        <v>1991.9967641820981</v>
      </c>
      <c r="N686" s="12" t="e">
        <f t="shared" si="223"/>
        <v>#REF!</v>
      </c>
      <c r="O686" s="12" t="e">
        <f t="shared" si="224"/>
        <v>#REF!</v>
      </c>
      <c r="P686" s="12" t="e">
        <f t="shared" si="225"/>
        <v>#REF!</v>
      </c>
    </row>
    <row r="687" spans="1:16" ht="15.75" hidden="1" x14ac:dyDescent="0.25">
      <c r="A687" s="14">
        <v>13</v>
      </c>
      <c r="B687" s="14">
        <v>26</v>
      </c>
      <c r="C687" s="8" t="s">
        <v>1129</v>
      </c>
      <c r="D687" s="28" t="s">
        <v>2227</v>
      </c>
      <c r="E687" s="12" t="s">
        <v>1451</v>
      </c>
      <c r="F687" s="1"/>
      <c r="G687" s="1">
        <v>49.790999999999997</v>
      </c>
      <c r="H687" s="1">
        <v>5.6000000000000001E-2</v>
      </c>
      <c r="I687" s="12">
        <f t="shared" si="221"/>
        <v>49.846999999999994</v>
      </c>
      <c r="J687" s="12">
        <v>22412.272970000002</v>
      </c>
      <c r="K687" s="12">
        <f>422.1*0.6</f>
        <v>253.26</v>
      </c>
      <c r="L687" s="12">
        <f t="shared" si="222"/>
        <v>22665.53297</v>
      </c>
      <c r="M687" s="12">
        <f t="shared" si="214"/>
        <v>454.70204766585761</v>
      </c>
      <c r="N687" s="12" t="e">
        <f t="shared" si="223"/>
        <v>#REF!</v>
      </c>
      <c r="O687" s="12" t="e">
        <f t="shared" si="224"/>
        <v>#REF!</v>
      </c>
      <c r="P687" s="12" t="e">
        <f t="shared" si="225"/>
        <v>#REF!</v>
      </c>
    </row>
    <row r="688" spans="1:16" ht="15.75" hidden="1" x14ac:dyDescent="0.25">
      <c r="A688" s="14">
        <v>13</v>
      </c>
      <c r="B688" s="14">
        <v>27</v>
      </c>
      <c r="C688" s="8" t="s">
        <v>1129</v>
      </c>
      <c r="D688" s="28" t="s">
        <v>2228</v>
      </c>
      <c r="E688" s="12" t="s">
        <v>1452</v>
      </c>
      <c r="F688" s="1"/>
      <c r="G688" s="1">
        <v>125.57899999999999</v>
      </c>
      <c r="H688" s="1">
        <v>0.19500000000000001</v>
      </c>
      <c r="I688" s="12">
        <f t="shared" si="221"/>
        <v>125.77399999999999</v>
      </c>
      <c r="J688" s="12">
        <v>172395.47998</v>
      </c>
      <c r="K688" s="12">
        <f>675.2*0.6</f>
        <v>405.12</v>
      </c>
      <c r="L688" s="12">
        <f t="shared" si="222"/>
        <v>172800.59998</v>
      </c>
      <c r="M688" s="12">
        <f t="shared" si="214"/>
        <v>1373.8976257414092</v>
      </c>
      <c r="N688" s="12" t="e">
        <f t="shared" si="223"/>
        <v>#REF!</v>
      </c>
      <c r="O688" s="12" t="e">
        <f t="shared" si="224"/>
        <v>#REF!</v>
      </c>
      <c r="P688" s="12" t="e">
        <f t="shared" si="225"/>
        <v>#REF!</v>
      </c>
    </row>
    <row r="689" spans="1:16" ht="15.75" hidden="1" x14ac:dyDescent="0.25">
      <c r="A689" s="15">
        <v>13</v>
      </c>
      <c r="B689" s="15" t="s">
        <v>1126</v>
      </c>
      <c r="C689" s="10" t="s">
        <v>1743</v>
      </c>
      <c r="D689" s="29"/>
      <c r="E689" s="37" t="s">
        <v>1747</v>
      </c>
      <c r="F689" s="6"/>
      <c r="G689" s="37">
        <f t="shared" ref="G689:L689" si="226">SUM(G690:G724)</f>
        <v>281.64700000000005</v>
      </c>
      <c r="H689" s="37">
        <f>SUM(H690:H724)</f>
        <v>0.4300000000000001</v>
      </c>
      <c r="I689" s="37">
        <f t="shared" si="226"/>
        <v>282.077</v>
      </c>
      <c r="J689" s="37">
        <f t="shared" si="226"/>
        <v>214737.09526</v>
      </c>
      <c r="K689" s="37">
        <f t="shared" si="226"/>
        <v>20280.96</v>
      </c>
      <c r="L689" s="37">
        <f t="shared" si="226"/>
        <v>235018.05525999999</v>
      </c>
      <c r="M689" s="37">
        <f t="shared" si="214"/>
        <v>833.16986234255182</v>
      </c>
      <c r="N689" s="37" t="e">
        <f>M689/$M$1429</f>
        <v>#REF!</v>
      </c>
      <c r="O689" s="37" t="e">
        <f>SUM(O690:O724)</f>
        <v>#REF!</v>
      </c>
      <c r="P689" s="37" t="e">
        <f>SUM(P690:P724)</f>
        <v>#REF!</v>
      </c>
    </row>
    <row r="690" spans="1:16" ht="15.75" hidden="1" x14ac:dyDescent="0.25">
      <c r="A690" s="14">
        <v>13</v>
      </c>
      <c r="B690" s="14">
        <v>28</v>
      </c>
      <c r="C690" s="8" t="s">
        <v>1744</v>
      </c>
      <c r="D690" s="28" t="s">
        <v>2229</v>
      </c>
      <c r="E690" s="12" t="s">
        <v>1759</v>
      </c>
      <c r="F690" s="1"/>
      <c r="G690" s="1">
        <v>4.1340000000000003</v>
      </c>
      <c r="H690" s="1">
        <v>1.2E-2</v>
      </c>
      <c r="I690" s="12">
        <f t="shared" ref="I690:I724" si="227">H690+G690</f>
        <v>4.1459999999999999</v>
      </c>
      <c r="J690" s="12">
        <v>1237.33359</v>
      </c>
      <c r="K690" s="12"/>
      <c r="L690" s="12">
        <f t="shared" ref="L690:L722" si="228">J690+K690</f>
        <v>1237.33359</v>
      </c>
      <c r="M690" s="12">
        <f t="shared" si="214"/>
        <v>298.44032561505065</v>
      </c>
      <c r="N690" s="12" t="e">
        <f t="shared" ref="N690:N724" si="229">M690/$M$1433</f>
        <v>#REF!</v>
      </c>
      <c r="O690" s="12" t="e">
        <f t="shared" ref="O690:O724" si="230">ROUND(IF(N690&lt;110%,0,(M690-$M$1433*1.1)*0.8)*I690,1)</f>
        <v>#REF!</v>
      </c>
      <c r="P690" s="12" t="e">
        <f t="shared" ref="P690:P724" si="231">ROUND(IF(N690&gt;90%,0,(-M690+$M$1433*0.9)*0.8)*I690,1)</f>
        <v>#REF!</v>
      </c>
    </row>
    <row r="691" spans="1:16" ht="15.75" hidden="1" x14ac:dyDescent="0.25">
      <c r="A691" s="14">
        <v>13</v>
      </c>
      <c r="B691" s="14">
        <v>29</v>
      </c>
      <c r="C691" s="8" t="s">
        <v>1744</v>
      </c>
      <c r="D691" s="28" t="s">
        <v>2230</v>
      </c>
      <c r="E691" s="12" t="s">
        <v>1760</v>
      </c>
      <c r="F691" s="1"/>
      <c r="G691" s="1">
        <v>5.5670000000000002</v>
      </c>
      <c r="H691" s="1">
        <v>8.9999999999999993E-3</v>
      </c>
      <c r="I691" s="12">
        <f t="shared" si="227"/>
        <v>5.5760000000000005</v>
      </c>
      <c r="J691" s="12">
        <v>3092.8895400000001</v>
      </c>
      <c r="K691" s="12"/>
      <c r="L691" s="12">
        <f t="shared" si="228"/>
        <v>3092.8895400000001</v>
      </c>
      <c r="M691" s="12">
        <f t="shared" si="214"/>
        <v>554.67889885222382</v>
      </c>
      <c r="N691" s="12" t="e">
        <f t="shared" si="229"/>
        <v>#REF!</v>
      </c>
      <c r="O691" s="12" t="e">
        <f t="shared" si="230"/>
        <v>#REF!</v>
      </c>
      <c r="P691" s="12" t="e">
        <f t="shared" si="231"/>
        <v>#REF!</v>
      </c>
    </row>
    <row r="692" spans="1:16" ht="15.75" hidden="1" x14ac:dyDescent="0.25">
      <c r="A692" s="14">
        <v>13</v>
      </c>
      <c r="B692" s="14">
        <v>30</v>
      </c>
      <c r="C692" s="8" t="s">
        <v>1744</v>
      </c>
      <c r="D692" s="28" t="s">
        <v>2231</v>
      </c>
      <c r="E692" s="12" t="s">
        <v>2623</v>
      </c>
      <c r="F692" s="1"/>
      <c r="G692" s="1">
        <v>2.8660000000000001</v>
      </c>
      <c r="H692" s="1">
        <v>1.4999999999999999E-2</v>
      </c>
      <c r="I692" s="12">
        <f t="shared" si="227"/>
        <v>2.8810000000000002</v>
      </c>
      <c r="J692" s="12">
        <v>641.87000999999998</v>
      </c>
      <c r="K692" s="12"/>
      <c r="L692" s="12">
        <f t="shared" si="228"/>
        <v>641.87000999999998</v>
      </c>
      <c r="M692" s="12">
        <f t="shared" si="214"/>
        <v>222.79417216244357</v>
      </c>
      <c r="N692" s="12" t="e">
        <f t="shared" si="229"/>
        <v>#REF!</v>
      </c>
      <c r="O692" s="12" t="e">
        <f t="shared" si="230"/>
        <v>#REF!</v>
      </c>
      <c r="P692" s="12" t="e">
        <f t="shared" si="231"/>
        <v>#REF!</v>
      </c>
    </row>
    <row r="693" spans="1:16" ht="15.75" hidden="1" x14ac:dyDescent="0.25">
      <c r="A693" s="14">
        <v>13</v>
      </c>
      <c r="B693" s="14">
        <v>31</v>
      </c>
      <c r="C693" s="8" t="s">
        <v>1744</v>
      </c>
      <c r="D693" s="28" t="s">
        <v>2232</v>
      </c>
      <c r="E693" s="12" t="s">
        <v>1761</v>
      </c>
      <c r="F693" s="1"/>
      <c r="G693" s="1">
        <v>5.2759999999999998</v>
      </c>
      <c r="H693" s="1">
        <v>8.9999999999999993E-3</v>
      </c>
      <c r="I693" s="12">
        <f t="shared" si="227"/>
        <v>5.2850000000000001</v>
      </c>
      <c r="J693" s="12">
        <v>1409.4068400000001</v>
      </c>
      <c r="K693" s="12"/>
      <c r="L693" s="12">
        <f t="shared" si="228"/>
        <v>1409.4068400000001</v>
      </c>
      <c r="M693" s="12">
        <f t="shared" si="214"/>
        <v>266.68057521286664</v>
      </c>
      <c r="N693" s="12" t="e">
        <f t="shared" si="229"/>
        <v>#REF!</v>
      </c>
      <c r="O693" s="12" t="e">
        <f t="shared" si="230"/>
        <v>#REF!</v>
      </c>
      <c r="P693" s="12" t="e">
        <f t="shared" si="231"/>
        <v>#REF!</v>
      </c>
    </row>
    <row r="694" spans="1:16" ht="15.75" hidden="1" x14ac:dyDescent="0.25">
      <c r="A694" s="14">
        <v>13</v>
      </c>
      <c r="B694" s="14">
        <v>32</v>
      </c>
      <c r="C694" s="8" t="s">
        <v>1744</v>
      </c>
      <c r="D694" s="28" t="s">
        <v>2233</v>
      </c>
      <c r="E694" s="12" t="s">
        <v>1762</v>
      </c>
      <c r="F694" s="1"/>
      <c r="G694" s="1">
        <v>6.3860000000000001</v>
      </c>
      <c r="H694" s="1">
        <v>7.0000000000000001E-3</v>
      </c>
      <c r="I694" s="12">
        <f t="shared" si="227"/>
        <v>6.3929999999999998</v>
      </c>
      <c r="J694" s="12">
        <v>4809.3740500000004</v>
      </c>
      <c r="K694" s="12"/>
      <c r="L694" s="12">
        <f t="shared" si="228"/>
        <v>4809.3740500000004</v>
      </c>
      <c r="M694" s="12">
        <f t="shared" si="214"/>
        <v>752.28750977631796</v>
      </c>
      <c r="N694" s="12" t="e">
        <f t="shared" si="229"/>
        <v>#REF!</v>
      </c>
      <c r="O694" s="12" t="e">
        <f t="shared" si="230"/>
        <v>#REF!</v>
      </c>
      <c r="P694" s="12" t="e">
        <f t="shared" si="231"/>
        <v>#REF!</v>
      </c>
    </row>
    <row r="695" spans="1:16" ht="15.75" hidden="1" x14ac:dyDescent="0.25">
      <c r="A695" s="14">
        <v>13</v>
      </c>
      <c r="B695" s="14">
        <v>33</v>
      </c>
      <c r="C695" s="8" t="s">
        <v>1744</v>
      </c>
      <c r="D695" s="28" t="s">
        <v>2234</v>
      </c>
      <c r="E695" s="12" t="s">
        <v>2624</v>
      </c>
      <c r="F695" s="1"/>
      <c r="G695" s="1">
        <v>4.1040000000000001</v>
      </c>
      <c r="H695" s="1">
        <v>2E-3</v>
      </c>
      <c r="I695" s="12">
        <f t="shared" si="227"/>
        <v>4.1059999999999999</v>
      </c>
      <c r="J695" s="12">
        <v>1636.2003400000001</v>
      </c>
      <c r="K695" s="12"/>
      <c r="L695" s="12">
        <f t="shared" si="228"/>
        <v>1636.2003400000001</v>
      </c>
      <c r="M695" s="12">
        <f t="shared" si="214"/>
        <v>398.49009741841212</v>
      </c>
      <c r="N695" s="12" t="e">
        <f t="shared" si="229"/>
        <v>#REF!</v>
      </c>
      <c r="O695" s="12" t="e">
        <f t="shared" si="230"/>
        <v>#REF!</v>
      </c>
      <c r="P695" s="12" t="e">
        <f t="shared" si="231"/>
        <v>#REF!</v>
      </c>
    </row>
    <row r="696" spans="1:16" ht="15.75" hidden="1" x14ac:dyDescent="0.25">
      <c r="A696" s="14">
        <v>13</v>
      </c>
      <c r="B696" s="14">
        <v>34</v>
      </c>
      <c r="C696" s="8" t="s">
        <v>1744</v>
      </c>
      <c r="D696" s="28" t="s">
        <v>2235</v>
      </c>
      <c r="E696" s="12" t="s">
        <v>1763</v>
      </c>
      <c r="F696" s="1"/>
      <c r="G696" s="1">
        <v>2.98</v>
      </c>
      <c r="H696" s="1">
        <v>2E-3</v>
      </c>
      <c r="I696" s="12">
        <f t="shared" si="227"/>
        <v>2.9819999999999998</v>
      </c>
      <c r="J696" s="12">
        <v>1224.3386499999999</v>
      </c>
      <c r="K696" s="12"/>
      <c r="L696" s="12">
        <f t="shared" si="228"/>
        <v>1224.3386499999999</v>
      </c>
      <c r="M696" s="12">
        <f t="shared" si="214"/>
        <v>410.57634138162308</v>
      </c>
      <c r="N696" s="12" t="e">
        <f t="shared" si="229"/>
        <v>#REF!</v>
      </c>
      <c r="O696" s="12" t="e">
        <f t="shared" si="230"/>
        <v>#REF!</v>
      </c>
      <c r="P696" s="12" t="e">
        <f t="shared" si="231"/>
        <v>#REF!</v>
      </c>
    </row>
    <row r="697" spans="1:16" ht="15.75" hidden="1" x14ac:dyDescent="0.25">
      <c r="A697" s="14">
        <v>13</v>
      </c>
      <c r="B697" s="14">
        <v>35</v>
      </c>
      <c r="C697" s="8" t="s">
        <v>1744</v>
      </c>
      <c r="D697" s="28" t="s">
        <v>2236</v>
      </c>
      <c r="E697" s="12" t="s">
        <v>1764</v>
      </c>
      <c r="F697" s="1"/>
      <c r="G697" s="1">
        <v>2.6040000000000001</v>
      </c>
      <c r="H697" s="1">
        <v>5.0000000000000001E-3</v>
      </c>
      <c r="I697" s="12">
        <f t="shared" si="227"/>
        <v>2.609</v>
      </c>
      <c r="J697" s="12">
        <v>1800.8729699999999</v>
      </c>
      <c r="K697" s="12"/>
      <c r="L697" s="12">
        <f t="shared" si="228"/>
        <v>1800.8729699999999</v>
      </c>
      <c r="M697" s="12">
        <f t="shared" si="214"/>
        <v>690.25410885396695</v>
      </c>
      <c r="N697" s="12" t="e">
        <f t="shared" si="229"/>
        <v>#REF!</v>
      </c>
      <c r="O697" s="12" t="e">
        <f t="shared" si="230"/>
        <v>#REF!</v>
      </c>
      <c r="P697" s="12" t="e">
        <f t="shared" si="231"/>
        <v>#REF!</v>
      </c>
    </row>
    <row r="698" spans="1:16" ht="15.75" hidden="1" x14ac:dyDescent="0.25">
      <c r="A698" s="14">
        <v>13</v>
      </c>
      <c r="B698" s="14">
        <v>36</v>
      </c>
      <c r="C698" s="8" t="s">
        <v>1744</v>
      </c>
      <c r="D698" s="28" t="s">
        <v>2237</v>
      </c>
      <c r="E698" s="12" t="s">
        <v>2625</v>
      </c>
      <c r="F698" s="1"/>
      <c r="G698" s="1">
        <v>3.637</v>
      </c>
      <c r="H698" s="1">
        <v>1E-3</v>
      </c>
      <c r="I698" s="12">
        <f t="shared" si="227"/>
        <v>3.6379999999999999</v>
      </c>
      <c r="J698" s="12">
        <v>939.27700000000004</v>
      </c>
      <c r="K698" s="12"/>
      <c r="L698" s="12">
        <f t="shared" si="228"/>
        <v>939.27700000000004</v>
      </c>
      <c r="M698" s="12">
        <f t="shared" si="214"/>
        <v>258.18499175371085</v>
      </c>
      <c r="N698" s="12" t="e">
        <f t="shared" si="229"/>
        <v>#REF!</v>
      </c>
      <c r="O698" s="12" t="e">
        <f t="shared" si="230"/>
        <v>#REF!</v>
      </c>
      <c r="P698" s="12" t="e">
        <f t="shared" si="231"/>
        <v>#REF!</v>
      </c>
    </row>
    <row r="699" spans="1:16" ht="15.75" hidden="1" x14ac:dyDescent="0.25">
      <c r="A699" s="14">
        <v>13</v>
      </c>
      <c r="B699" s="14">
        <v>37</v>
      </c>
      <c r="C699" s="8" t="s">
        <v>1744</v>
      </c>
      <c r="D699" s="28" t="s">
        <v>2238</v>
      </c>
      <c r="E699" s="12" t="s">
        <v>2626</v>
      </c>
      <c r="F699" s="1"/>
      <c r="G699" s="1">
        <v>2.4039999999999999</v>
      </c>
      <c r="H699" s="1">
        <v>8.9999999999999993E-3</v>
      </c>
      <c r="I699" s="12">
        <f t="shared" si="227"/>
        <v>2.4129999999999998</v>
      </c>
      <c r="J699" s="12">
        <v>709.49909000000002</v>
      </c>
      <c r="K699" s="12"/>
      <c r="L699" s="12">
        <f t="shared" si="228"/>
        <v>709.49909000000002</v>
      </c>
      <c r="M699" s="12">
        <f t="shared" si="214"/>
        <v>294.03194778284296</v>
      </c>
      <c r="N699" s="12" t="e">
        <f t="shared" si="229"/>
        <v>#REF!</v>
      </c>
      <c r="O699" s="12" t="e">
        <f t="shared" si="230"/>
        <v>#REF!</v>
      </c>
      <c r="P699" s="12" t="e">
        <f t="shared" si="231"/>
        <v>#REF!</v>
      </c>
    </row>
    <row r="700" spans="1:16" ht="15.75" hidden="1" x14ac:dyDescent="0.25">
      <c r="A700" s="14">
        <v>13</v>
      </c>
      <c r="B700" s="14">
        <v>38</v>
      </c>
      <c r="C700" s="8" t="s">
        <v>1744</v>
      </c>
      <c r="D700" s="28" t="s">
        <v>2627</v>
      </c>
      <c r="E700" s="12" t="s">
        <v>1765</v>
      </c>
      <c r="F700" s="1"/>
      <c r="G700" s="1">
        <v>7.3840000000000003</v>
      </c>
      <c r="H700" s="1">
        <v>0</v>
      </c>
      <c r="I700" s="12">
        <f t="shared" si="227"/>
        <v>7.3840000000000003</v>
      </c>
      <c r="J700" s="12">
        <v>13280.74505</v>
      </c>
      <c r="K700" s="12"/>
      <c r="L700" s="12">
        <f t="shared" si="228"/>
        <v>13280.74505</v>
      </c>
      <c r="M700" s="12">
        <f t="shared" si="214"/>
        <v>1798.584107529794</v>
      </c>
      <c r="N700" s="12" t="e">
        <f t="shared" si="229"/>
        <v>#REF!</v>
      </c>
      <c r="O700" s="12" t="e">
        <f t="shared" si="230"/>
        <v>#REF!</v>
      </c>
      <c r="P700" s="12" t="e">
        <f t="shared" si="231"/>
        <v>#REF!</v>
      </c>
    </row>
    <row r="701" spans="1:16" ht="15.75" hidden="1" x14ac:dyDescent="0.25">
      <c r="A701" s="14">
        <v>13</v>
      </c>
      <c r="B701" s="14">
        <v>39</v>
      </c>
      <c r="C701" s="8" t="s">
        <v>1744</v>
      </c>
      <c r="D701" s="28" t="s">
        <v>2628</v>
      </c>
      <c r="E701" s="12" t="s">
        <v>2629</v>
      </c>
      <c r="F701" s="1"/>
      <c r="G701" s="1">
        <v>5.9889999999999999</v>
      </c>
      <c r="H701" s="1">
        <v>0</v>
      </c>
      <c r="I701" s="12">
        <f t="shared" si="227"/>
        <v>5.9889999999999999</v>
      </c>
      <c r="J701" s="12">
        <v>1128.7916</v>
      </c>
      <c r="K701" s="12"/>
      <c r="L701" s="12">
        <f t="shared" si="228"/>
        <v>1128.7916</v>
      </c>
      <c r="M701" s="12">
        <f t="shared" si="214"/>
        <v>188.47747537151446</v>
      </c>
      <c r="N701" s="12" t="e">
        <f t="shared" si="229"/>
        <v>#REF!</v>
      </c>
      <c r="O701" s="12" t="e">
        <f t="shared" si="230"/>
        <v>#REF!</v>
      </c>
      <c r="P701" s="12" t="e">
        <f t="shared" si="231"/>
        <v>#REF!</v>
      </c>
    </row>
    <row r="702" spans="1:16" ht="15.75" hidden="1" x14ac:dyDescent="0.25">
      <c r="A702" s="14">
        <v>13</v>
      </c>
      <c r="B702" s="14">
        <v>40</v>
      </c>
      <c r="C702" s="8" t="s">
        <v>1744</v>
      </c>
      <c r="D702" s="28" t="s">
        <v>2630</v>
      </c>
      <c r="E702" s="12" t="s">
        <v>1766</v>
      </c>
      <c r="F702" s="1"/>
      <c r="G702" s="1">
        <v>2.673</v>
      </c>
      <c r="H702" s="1">
        <v>0</v>
      </c>
      <c r="I702" s="12">
        <f t="shared" si="227"/>
        <v>2.673</v>
      </c>
      <c r="J702" s="12">
        <v>1054.19956</v>
      </c>
      <c r="K702" s="12"/>
      <c r="L702" s="12">
        <f t="shared" si="228"/>
        <v>1054.19956</v>
      </c>
      <c r="M702" s="12">
        <f t="shared" si="214"/>
        <v>394.38816311260757</v>
      </c>
      <c r="N702" s="12" t="e">
        <f t="shared" si="229"/>
        <v>#REF!</v>
      </c>
      <c r="O702" s="12" t="e">
        <f t="shared" si="230"/>
        <v>#REF!</v>
      </c>
      <c r="P702" s="12" t="e">
        <f t="shared" si="231"/>
        <v>#REF!</v>
      </c>
    </row>
    <row r="703" spans="1:16" ht="15.75" hidden="1" x14ac:dyDescent="0.25">
      <c r="A703" s="14">
        <v>13</v>
      </c>
      <c r="B703" s="14">
        <v>41</v>
      </c>
      <c r="C703" s="8" t="s">
        <v>1744</v>
      </c>
      <c r="D703" s="28" t="s">
        <v>2631</v>
      </c>
      <c r="E703" s="12" t="s">
        <v>1767</v>
      </c>
      <c r="F703" s="1"/>
      <c r="G703" s="1">
        <v>8.0869999999999997</v>
      </c>
      <c r="H703" s="1">
        <v>1.2999999999999999E-2</v>
      </c>
      <c r="I703" s="12">
        <f t="shared" si="227"/>
        <v>8.1</v>
      </c>
      <c r="J703" s="12">
        <v>5063.2039500000001</v>
      </c>
      <c r="K703" s="12"/>
      <c r="L703" s="12">
        <f t="shared" si="228"/>
        <v>5063.2039500000001</v>
      </c>
      <c r="M703" s="12">
        <f t="shared" si="214"/>
        <v>625.08690740740747</v>
      </c>
      <c r="N703" s="12" t="e">
        <f t="shared" si="229"/>
        <v>#REF!</v>
      </c>
      <c r="O703" s="12" t="e">
        <f t="shared" si="230"/>
        <v>#REF!</v>
      </c>
      <c r="P703" s="12" t="e">
        <f t="shared" si="231"/>
        <v>#REF!</v>
      </c>
    </row>
    <row r="704" spans="1:16" ht="15.75" hidden="1" x14ac:dyDescent="0.25">
      <c r="A704" s="14">
        <v>13</v>
      </c>
      <c r="B704" s="14">
        <v>42</v>
      </c>
      <c r="C704" s="8" t="s">
        <v>1744</v>
      </c>
      <c r="D704" s="28" t="s">
        <v>2632</v>
      </c>
      <c r="E704" s="12" t="s">
        <v>1768</v>
      </c>
      <c r="F704" s="1"/>
      <c r="G704" s="1">
        <v>3.26</v>
      </c>
      <c r="H704" s="1">
        <v>3.0000000000000001E-3</v>
      </c>
      <c r="I704" s="12">
        <f t="shared" si="227"/>
        <v>3.2629999999999999</v>
      </c>
      <c r="J704" s="12">
        <v>1288.2400700000001</v>
      </c>
      <c r="K704" s="12"/>
      <c r="L704" s="12">
        <f t="shared" si="228"/>
        <v>1288.2400700000001</v>
      </c>
      <c r="M704" s="12">
        <f t="shared" si="214"/>
        <v>394.80235059760957</v>
      </c>
      <c r="N704" s="12" t="e">
        <f t="shared" si="229"/>
        <v>#REF!</v>
      </c>
      <c r="O704" s="12" t="e">
        <f t="shared" si="230"/>
        <v>#REF!</v>
      </c>
      <c r="P704" s="12" t="e">
        <f t="shared" si="231"/>
        <v>#REF!</v>
      </c>
    </row>
    <row r="705" spans="1:16" ht="15.75" hidden="1" x14ac:dyDescent="0.25">
      <c r="A705" s="20">
        <v>13</v>
      </c>
      <c r="B705" s="20">
        <v>43</v>
      </c>
      <c r="C705" s="21" t="s">
        <v>1744</v>
      </c>
      <c r="D705" s="30" t="s">
        <v>97</v>
      </c>
      <c r="E705" s="12" t="s">
        <v>98</v>
      </c>
      <c r="F705" s="1"/>
      <c r="G705" s="1">
        <v>25.465</v>
      </c>
      <c r="H705" s="1">
        <v>8.0000000000000002E-3</v>
      </c>
      <c r="I705" s="12">
        <f t="shared" si="227"/>
        <v>25.472999999999999</v>
      </c>
      <c r="J705" s="12">
        <v>15065.66353</v>
      </c>
      <c r="K705" s="12"/>
      <c r="L705" s="12">
        <f t="shared" si="228"/>
        <v>15065.66353</v>
      </c>
      <c r="M705" s="12">
        <f t="shared" si="214"/>
        <v>591.43656145722923</v>
      </c>
      <c r="N705" s="12" t="e">
        <f t="shared" si="229"/>
        <v>#REF!</v>
      </c>
      <c r="O705" s="12" t="e">
        <f t="shared" si="230"/>
        <v>#REF!</v>
      </c>
      <c r="P705" s="12" t="e">
        <f t="shared" si="231"/>
        <v>#REF!</v>
      </c>
    </row>
    <row r="706" spans="1:16" ht="15.75" hidden="1" x14ac:dyDescent="0.25">
      <c r="A706" s="20">
        <v>13</v>
      </c>
      <c r="B706" s="20">
        <v>44</v>
      </c>
      <c r="C706" s="21" t="s">
        <v>1744</v>
      </c>
      <c r="D706" s="30" t="s">
        <v>319</v>
      </c>
      <c r="E706" s="12" t="s">
        <v>320</v>
      </c>
      <c r="F706" s="1"/>
      <c r="G706" s="1">
        <v>21.721</v>
      </c>
      <c r="H706" s="1">
        <v>1.2E-2</v>
      </c>
      <c r="I706" s="12">
        <f t="shared" si="227"/>
        <v>21.733000000000001</v>
      </c>
      <c r="J706" s="12">
        <v>26181.989320000001</v>
      </c>
      <c r="K706" s="12">
        <f>487.4*0.6</f>
        <v>292.44</v>
      </c>
      <c r="L706" s="12">
        <f t="shared" si="228"/>
        <v>26474.429319999999</v>
      </c>
      <c r="M706" s="12">
        <f t="shared" si="214"/>
        <v>1218.1672718906732</v>
      </c>
      <c r="N706" s="12" t="e">
        <f t="shared" si="229"/>
        <v>#REF!</v>
      </c>
      <c r="O706" s="12" t="e">
        <f t="shared" si="230"/>
        <v>#REF!</v>
      </c>
      <c r="P706" s="12" t="e">
        <f t="shared" si="231"/>
        <v>#REF!</v>
      </c>
    </row>
    <row r="707" spans="1:16" ht="15.75" hidden="1" x14ac:dyDescent="0.25">
      <c r="A707" s="20">
        <v>13</v>
      </c>
      <c r="B707" s="20">
        <v>45</v>
      </c>
      <c r="C707" s="21" t="s">
        <v>1744</v>
      </c>
      <c r="D707" s="30" t="s">
        <v>321</v>
      </c>
      <c r="E707" s="12" t="s">
        <v>322</v>
      </c>
      <c r="F707" s="1"/>
      <c r="G707" s="1">
        <v>10.978</v>
      </c>
      <c r="H707" s="1">
        <v>1.7999999999999999E-2</v>
      </c>
      <c r="I707" s="12">
        <f t="shared" si="227"/>
        <v>10.996</v>
      </c>
      <c r="J707" s="12">
        <v>3725.8146400000001</v>
      </c>
      <c r="K707" s="12"/>
      <c r="L707" s="12">
        <f t="shared" si="228"/>
        <v>3725.8146400000001</v>
      </c>
      <c r="M707" s="12">
        <f t="shared" si="214"/>
        <v>338.83363404874501</v>
      </c>
      <c r="N707" s="12" t="e">
        <f t="shared" si="229"/>
        <v>#REF!</v>
      </c>
      <c r="O707" s="12" t="e">
        <f t="shared" si="230"/>
        <v>#REF!</v>
      </c>
      <c r="P707" s="12" t="e">
        <f t="shared" si="231"/>
        <v>#REF!</v>
      </c>
    </row>
    <row r="708" spans="1:16" ht="15.75" hidden="1" x14ac:dyDescent="0.25">
      <c r="A708" s="20">
        <v>13</v>
      </c>
      <c r="B708" s="20">
        <v>46</v>
      </c>
      <c r="C708" s="21" t="s">
        <v>1744</v>
      </c>
      <c r="D708" s="30" t="s">
        <v>323</v>
      </c>
      <c r="E708" s="12" t="s">
        <v>324</v>
      </c>
      <c r="F708" s="1"/>
      <c r="G708" s="1">
        <v>2.5590000000000002</v>
      </c>
      <c r="H708" s="1">
        <v>7.0000000000000001E-3</v>
      </c>
      <c r="I708" s="12">
        <f t="shared" si="227"/>
        <v>2.5660000000000003</v>
      </c>
      <c r="J708" s="12">
        <v>1051.79114</v>
      </c>
      <c r="K708" s="12"/>
      <c r="L708" s="12">
        <f t="shared" si="228"/>
        <v>1051.79114</v>
      </c>
      <c r="M708" s="12">
        <f t="shared" si="214"/>
        <v>409.89522213561963</v>
      </c>
      <c r="N708" s="12" t="e">
        <f t="shared" si="229"/>
        <v>#REF!</v>
      </c>
      <c r="O708" s="12" t="e">
        <f t="shared" si="230"/>
        <v>#REF!</v>
      </c>
      <c r="P708" s="12" t="e">
        <f t="shared" si="231"/>
        <v>#REF!</v>
      </c>
    </row>
    <row r="709" spans="1:16" ht="15.75" hidden="1" x14ac:dyDescent="0.25">
      <c r="A709" s="20">
        <v>13</v>
      </c>
      <c r="B709" s="20">
        <v>47</v>
      </c>
      <c r="C709" s="21" t="s">
        <v>1744</v>
      </c>
      <c r="D709" s="30" t="s">
        <v>325</v>
      </c>
      <c r="E709" s="12" t="s">
        <v>326</v>
      </c>
      <c r="F709" s="1"/>
      <c r="G709" s="1">
        <v>12.282999999999999</v>
      </c>
      <c r="H709" s="1">
        <v>3.5999999999999997E-2</v>
      </c>
      <c r="I709" s="12">
        <f t="shared" si="227"/>
        <v>12.318999999999999</v>
      </c>
      <c r="J709" s="12">
        <v>8488.6755699999994</v>
      </c>
      <c r="K709" s="12"/>
      <c r="L709" s="12">
        <f t="shared" si="228"/>
        <v>8488.6755699999994</v>
      </c>
      <c r="M709" s="12">
        <f t="shared" si="214"/>
        <v>689.07180534134261</v>
      </c>
      <c r="N709" s="12" t="e">
        <f t="shared" si="229"/>
        <v>#REF!</v>
      </c>
      <c r="O709" s="12" t="e">
        <f t="shared" si="230"/>
        <v>#REF!</v>
      </c>
      <c r="P709" s="12" t="e">
        <f t="shared" si="231"/>
        <v>#REF!</v>
      </c>
    </row>
    <row r="710" spans="1:16" ht="15.75" hidden="1" x14ac:dyDescent="0.25">
      <c r="A710" s="20">
        <v>13</v>
      </c>
      <c r="B710" s="20">
        <v>48</v>
      </c>
      <c r="C710" s="21" t="s">
        <v>1744</v>
      </c>
      <c r="D710" s="30" t="s">
        <v>327</v>
      </c>
      <c r="E710" s="12" t="s">
        <v>328</v>
      </c>
      <c r="F710" s="1"/>
      <c r="G710" s="1">
        <v>8.5129999999999999</v>
      </c>
      <c r="H710" s="1">
        <v>3.0000000000000001E-3</v>
      </c>
      <c r="I710" s="12">
        <f t="shared" si="227"/>
        <v>8.516</v>
      </c>
      <c r="J710" s="12">
        <v>8212.2175000000007</v>
      </c>
      <c r="K710" s="12"/>
      <c r="L710" s="12">
        <f t="shared" si="228"/>
        <v>8212.2175000000007</v>
      </c>
      <c r="M710" s="12">
        <f t="shared" si="214"/>
        <v>964.32802959135756</v>
      </c>
      <c r="N710" s="12" t="e">
        <f t="shared" si="229"/>
        <v>#REF!</v>
      </c>
      <c r="O710" s="12" t="e">
        <f t="shared" si="230"/>
        <v>#REF!</v>
      </c>
      <c r="P710" s="12" t="e">
        <f t="shared" si="231"/>
        <v>#REF!</v>
      </c>
    </row>
    <row r="711" spans="1:16" ht="15.75" hidden="1" x14ac:dyDescent="0.25">
      <c r="A711" s="20">
        <v>13</v>
      </c>
      <c r="B711" s="20">
        <v>49</v>
      </c>
      <c r="C711" s="21" t="s">
        <v>1744</v>
      </c>
      <c r="D711" s="30" t="s">
        <v>329</v>
      </c>
      <c r="E711" s="12" t="s">
        <v>330</v>
      </c>
      <c r="F711" s="1"/>
      <c r="G711" s="1">
        <v>5.4489999999999998</v>
      </c>
      <c r="H711" s="1">
        <v>1.2999999999999999E-2</v>
      </c>
      <c r="I711" s="12">
        <f t="shared" si="227"/>
        <v>5.4619999999999997</v>
      </c>
      <c r="J711" s="12">
        <v>3301.3772399999998</v>
      </c>
      <c r="K711" s="12"/>
      <c r="L711" s="12">
        <f t="shared" si="228"/>
        <v>3301.3772399999998</v>
      </c>
      <c r="M711" s="12">
        <f t="shared" si="214"/>
        <v>604.42644452581476</v>
      </c>
      <c r="N711" s="12" t="e">
        <f t="shared" si="229"/>
        <v>#REF!</v>
      </c>
      <c r="O711" s="12" t="e">
        <f t="shared" si="230"/>
        <v>#REF!</v>
      </c>
      <c r="P711" s="12" t="e">
        <f t="shared" si="231"/>
        <v>#REF!</v>
      </c>
    </row>
    <row r="712" spans="1:16" ht="15.75" hidden="1" x14ac:dyDescent="0.25">
      <c r="A712" s="20">
        <v>13</v>
      </c>
      <c r="B712" s="20">
        <v>50</v>
      </c>
      <c r="C712" s="21" t="s">
        <v>1744</v>
      </c>
      <c r="D712" s="30" t="s">
        <v>543</v>
      </c>
      <c r="E712" s="38" t="s">
        <v>544</v>
      </c>
      <c r="F712" s="39"/>
      <c r="G712" s="39">
        <v>9.6259999999999994</v>
      </c>
      <c r="H712" s="39">
        <v>6.0000000000000001E-3</v>
      </c>
      <c r="I712" s="12">
        <f t="shared" si="227"/>
        <v>9.6319999999999997</v>
      </c>
      <c r="J712" s="38">
        <v>3993.7712299999998</v>
      </c>
      <c r="K712" s="38"/>
      <c r="L712" s="38">
        <f t="shared" si="228"/>
        <v>3993.7712299999998</v>
      </c>
      <c r="M712" s="38">
        <f t="shared" si="214"/>
        <v>414.63571740033223</v>
      </c>
      <c r="N712" s="12" t="e">
        <f t="shared" si="229"/>
        <v>#REF!</v>
      </c>
      <c r="O712" s="12" t="e">
        <f t="shared" si="230"/>
        <v>#REF!</v>
      </c>
      <c r="P712" s="12" t="e">
        <f t="shared" si="231"/>
        <v>#REF!</v>
      </c>
    </row>
    <row r="713" spans="1:16" ht="15.75" hidden="1" x14ac:dyDescent="0.25">
      <c r="A713" s="20">
        <v>13</v>
      </c>
      <c r="B713" s="20">
        <v>51</v>
      </c>
      <c r="C713" s="21" t="s">
        <v>1744</v>
      </c>
      <c r="D713" s="30" t="s">
        <v>545</v>
      </c>
      <c r="E713" s="38" t="s">
        <v>546</v>
      </c>
      <c r="F713" s="39"/>
      <c r="G713" s="39">
        <v>7.0469999999999997</v>
      </c>
      <c r="H713" s="39">
        <v>3.0000000000000001E-3</v>
      </c>
      <c r="I713" s="12">
        <f t="shared" si="227"/>
        <v>7.05</v>
      </c>
      <c r="J713" s="38">
        <v>2179.1057799999999</v>
      </c>
      <c r="K713" s="38"/>
      <c r="L713" s="38">
        <f t="shared" si="228"/>
        <v>2179.1057799999999</v>
      </c>
      <c r="M713" s="38">
        <f t="shared" si="214"/>
        <v>309.09301843971627</v>
      </c>
      <c r="N713" s="12" t="e">
        <f t="shared" si="229"/>
        <v>#REF!</v>
      </c>
      <c r="O713" s="12" t="e">
        <f t="shared" si="230"/>
        <v>#REF!</v>
      </c>
      <c r="P713" s="12" t="e">
        <f t="shared" si="231"/>
        <v>#REF!</v>
      </c>
    </row>
    <row r="714" spans="1:16" ht="15.75" hidden="1" x14ac:dyDescent="0.25">
      <c r="A714" s="20">
        <v>13</v>
      </c>
      <c r="B714" s="20">
        <v>52</v>
      </c>
      <c r="C714" s="21" t="s">
        <v>1744</v>
      </c>
      <c r="D714" s="30" t="s">
        <v>547</v>
      </c>
      <c r="E714" s="42" t="s">
        <v>793</v>
      </c>
      <c r="F714" s="43"/>
      <c r="G714" s="43">
        <v>9.81</v>
      </c>
      <c r="H714" s="43">
        <v>8.0000000000000002E-3</v>
      </c>
      <c r="I714" s="12">
        <f t="shared" si="227"/>
        <v>9.8179999999999996</v>
      </c>
      <c r="J714" s="42">
        <v>3147.9090000000001</v>
      </c>
      <c r="K714" s="42"/>
      <c r="L714" s="42">
        <f t="shared" si="228"/>
        <v>3147.9090000000001</v>
      </c>
      <c r="M714" s="42">
        <f t="shared" si="214"/>
        <v>320.62629863515991</v>
      </c>
      <c r="N714" s="12" t="e">
        <f t="shared" si="229"/>
        <v>#REF!</v>
      </c>
      <c r="O714" s="12" t="e">
        <f t="shared" si="230"/>
        <v>#REF!</v>
      </c>
      <c r="P714" s="12" t="e">
        <f t="shared" si="231"/>
        <v>#REF!</v>
      </c>
    </row>
    <row r="715" spans="1:16" ht="15.75" hidden="1" x14ac:dyDescent="0.25">
      <c r="A715" s="49">
        <v>13</v>
      </c>
      <c r="B715" s="49">
        <v>53</v>
      </c>
      <c r="C715" s="50" t="s">
        <v>1744</v>
      </c>
      <c r="D715" s="51" t="s">
        <v>794</v>
      </c>
      <c r="E715" s="52" t="s">
        <v>795</v>
      </c>
      <c r="F715" s="53"/>
      <c r="G715" s="53">
        <v>2.2919999999999998</v>
      </c>
      <c r="H715" s="53">
        <v>0</v>
      </c>
      <c r="I715" s="12">
        <f t="shared" si="227"/>
        <v>2.2919999999999998</v>
      </c>
      <c r="J715" s="52">
        <v>1083.376</v>
      </c>
      <c r="K715" s="52"/>
      <c r="L715" s="52">
        <f t="shared" si="228"/>
        <v>1083.376</v>
      </c>
      <c r="M715" s="52">
        <f t="shared" si="214"/>
        <v>472.67713787085518</v>
      </c>
      <c r="N715" s="12" t="e">
        <f t="shared" si="229"/>
        <v>#REF!</v>
      </c>
      <c r="O715" s="12" t="e">
        <f t="shared" si="230"/>
        <v>#REF!</v>
      </c>
      <c r="P715" s="12" t="e">
        <f t="shared" si="231"/>
        <v>#REF!</v>
      </c>
    </row>
    <row r="716" spans="1:16" ht="15.75" hidden="1" x14ac:dyDescent="0.25">
      <c r="A716" s="49">
        <v>13</v>
      </c>
      <c r="B716" s="49">
        <v>54</v>
      </c>
      <c r="C716" s="50" t="s">
        <v>1744</v>
      </c>
      <c r="D716" s="51" t="s">
        <v>796</v>
      </c>
      <c r="E716" s="52" t="s">
        <v>797</v>
      </c>
      <c r="F716" s="53"/>
      <c r="G716" s="53">
        <v>5.5590000000000002</v>
      </c>
      <c r="H716" s="53">
        <v>1.2E-2</v>
      </c>
      <c r="I716" s="12">
        <f t="shared" si="227"/>
        <v>5.5709999999999997</v>
      </c>
      <c r="J716" s="52">
        <v>2187.0880000000002</v>
      </c>
      <c r="K716" s="52"/>
      <c r="L716" s="52">
        <f t="shared" si="228"/>
        <v>2187.0880000000002</v>
      </c>
      <c r="M716" s="52">
        <f t="shared" si="214"/>
        <v>392.58445521450375</v>
      </c>
      <c r="N716" s="12" t="e">
        <f t="shared" si="229"/>
        <v>#REF!</v>
      </c>
      <c r="O716" s="12" t="e">
        <f t="shared" si="230"/>
        <v>#REF!</v>
      </c>
      <c r="P716" s="12" t="e">
        <f t="shared" si="231"/>
        <v>#REF!</v>
      </c>
    </row>
    <row r="717" spans="1:16" ht="15.75" hidden="1" x14ac:dyDescent="0.25">
      <c r="A717" s="49">
        <v>13</v>
      </c>
      <c r="B717" s="49">
        <v>55</v>
      </c>
      <c r="C717" s="50" t="s">
        <v>1744</v>
      </c>
      <c r="D717" s="51" t="s">
        <v>798</v>
      </c>
      <c r="E717" s="52" t="s">
        <v>799</v>
      </c>
      <c r="F717" s="53"/>
      <c r="G717" s="53">
        <v>10.513</v>
      </c>
      <c r="H717" s="53">
        <v>4.9000000000000002E-2</v>
      </c>
      <c r="I717" s="12">
        <f t="shared" si="227"/>
        <v>10.561999999999999</v>
      </c>
      <c r="J717" s="52">
        <v>25453.055</v>
      </c>
      <c r="K717" s="52"/>
      <c r="L717" s="52">
        <f t="shared" si="228"/>
        <v>25453.055</v>
      </c>
      <c r="M717" s="52">
        <f t="shared" si="214"/>
        <v>2409.8707631130469</v>
      </c>
      <c r="N717" s="12" t="e">
        <f t="shared" si="229"/>
        <v>#REF!</v>
      </c>
      <c r="O717" s="12" t="e">
        <f t="shared" si="230"/>
        <v>#REF!</v>
      </c>
      <c r="P717" s="12" t="e">
        <f t="shared" si="231"/>
        <v>#REF!</v>
      </c>
    </row>
    <row r="718" spans="1:16" ht="15.75" hidden="1" x14ac:dyDescent="0.25">
      <c r="A718" s="49">
        <v>13</v>
      </c>
      <c r="B718" s="49">
        <v>56</v>
      </c>
      <c r="C718" s="50" t="s">
        <v>1744</v>
      </c>
      <c r="D718" s="51" t="s">
        <v>800</v>
      </c>
      <c r="E718" s="52" t="s">
        <v>801</v>
      </c>
      <c r="F718" s="53"/>
      <c r="G718" s="53">
        <v>11.605</v>
      </c>
      <c r="H718" s="53">
        <v>5.1999999999999998E-2</v>
      </c>
      <c r="I718" s="12">
        <f t="shared" si="227"/>
        <v>11.657</v>
      </c>
      <c r="J718" s="52">
        <v>5739.41</v>
      </c>
      <c r="K718" s="52"/>
      <c r="L718" s="52">
        <f t="shared" si="228"/>
        <v>5739.41</v>
      </c>
      <c r="M718" s="52">
        <f t="shared" si="214"/>
        <v>492.35738183065968</v>
      </c>
      <c r="N718" s="12" t="e">
        <f t="shared" si="229"/>
        <v>#REF!</v>
      </c>
      <c r="O718" s="12" t="e">
        <f t="shared" si="230"/>
        <v>#REF!</v>
      </c>
      <c r="P718" s="12" t="e">
        <f t="shared" si="231"/>
        <v>#REF!</v>
      </c>
    </row>
    <row r="719" spans="1:16" ht="15.75" hidden="1" x14ac:dyDescent="0.25">
      <c r="A719" s="49">
        <v>13</v>
      </c>
      <c r="B719" s="49">
        <v>57</v>
      </c>
      <c r="C719" s="50" t="s">
        <v>1744</v>
      </c>
      <c r="D719" s="51" t="s">
        <v>802</v>
      </c>
      <c r="E719" s="52" t="s">
        <v>803</v>
      </c>
      <c r="F719" s="53"/>
      <c r="G719" s="53">
        <v>13.507</v>
      </c>
      <c r="H719" s="53">
        <v>4.0000000000000001E-3</v>
      </c>
      <c r="I719" s="12">
        <f t="shared" si="227"/>
        <v>13.510999999999999</v>
      </c>
      <c r="J719" s="52">
        <v>4744.92</v>
      </c>
      <c r="K719" s="52"/>
      <c r="L719" s="52">
        <f t="shared" si="228"/>
        <v>4744.92</v>
      </c>
      <c r="M719" s="52">
        <f t="shared" si="214"/>
        <v>351.18940122862853</v>
      </c>
      <c r="N719" s="12" t="e">
        <f t="shared" si="229"/>
        <v>#REF!</v>
      </c>
      <c r="O719" s="12" t="e">
        <f t="shared" si="230"/>
        <v>#REF!</v>
      </c>
      <c r="P719" s="12" t="e">
        <f t="shared" si="231"/>
        <v>#REF!</v>
      </c>
    </row>
    <row r="720" spans="1:16" ht="15.75" hidden="1" x14ac:dyDescent="0.25">
      <c r="A720" s="49">
        <v>13</v>
      </c>
      <c r="B720" s="49">
        <v>58</v>
      </c>
      <c r="C720" s="50" t="s">
        <v>1744</v>
      </c>
      <c r="D720" s="51" t="s">
        <v>804</v>
      </c>
      <c r="E720" s="52" t="s">
        <v>805</v>
      </c>
      <c r="F720" s="53"/>
      <c r="G720" s="53">
        <v>8.5649999999999995</v>
      </c>
      <c r="H720" s="53">
        <v>1.4E-2</v>
      </c>
      <c r="I720" s="12">
        <f t="shared" si="227"/>
        <v>8.5789999999999988</v>
      </c>
      <c r="J720" s="52">
        <v>5211.9480000000003</v>
      </c>
      <c r="K720" s="52">
        <f>32887.9*0.6</f>
        <v>19732.740000000002</v>
      </c>
      <c r="L720" s="52">
        <f t="shared" si="228"/>
        <v>24944.688000000002</v>
      </c>
      <c r="M720" s="52">
        <f t="shared" si="214"/>
        <v>2907.6451800909203</v>
      </c>
      <c r="N720" s="12" t="e">
        <f t="shared" si="229"/>
        <v>#REF!</v>
      </c>
      <c r="O720" s="12" t="e">
        <f t="shared" si="230"/>
        <v>#REF!</v>
      </c>
      <c r="P720" s="12" t="e">
        <f t="shared" si="231"/>
        <v>#REF!</v>
      </c>
    </row>
    <row r="721" spans="1:16" ht="15.75" hidden="1" x14ac:dyDescent="0.25">
      <c r="A721" s="49">
        <v>13</v>
      </c>
      <c r="B721" s="49">
        <v>59</v>
      </c>
      <c r="C721" s="50" t="s">
        <v>1744</v>
      </c>
      <c r="D721" s="51" t="s">
        <v>806</v>
      </c>
      <c r="E721" s="52" t="s">
        <v>807</v>
      </c>
      <c r="F721" s="53"/>
      <c r="G721" s="53">
        <v>13.723000000000001</v>
      </c>
      <c r="H721" s="53">
        <v>2.1999999999999999E-2</v>
      </c>
      <c r="I721" s="12">
        <f t="shared" si="227"/>
        <v>13.745000000000001</v>
      </c>
      <c r="J721" s="52">
        <v>11329.710999999999</v>
      </c>
      <c r="K721" s="52"/>
      <c r="L721" s="52">
        <f t="shared" si="228"/>
        <v>11329.710999999999</v>
      </c>
      <c r="M721" s="52">
        <f t="shared" si="214"/>
        <v>824.27871953437602</v>
      </c>
      <c r="N721" s="12" t="e">
        <f t="shared" si="229"/>
        <v>#REF!</v>
      </c>
      <c r="O721" s="12" t="e">
        <f t="shared" si="230"/>
        <v>#REF!</v>
      </c>
      <c r="P721" s="12" t="e">
        <f t="shared" si="231"/>
        <v>#REF!</v>
      </c>
    </row>
    <row r="722" spans="1:16" ht="31.5" hidden="1" x14ac:dyDescent="0.25">
      <c r="A722" s="49">
        <v>13</v>
      </c>
      <c r="B722" s="49">
        <v>60</v>
      </c>
      <c r="C722" s="50" t="s">
        <v>1744</v>
      </c>
      <c r="D722" s="51" t="s">
        <v>808</v>
      </c>
      <c r="E722" s="52" t="s">
        <v>809</v>
      </c>
      <c r="F722" s="53"/>
      <c r="G722" s="53">
        <v>7.6959999999999997</v>
      </c>
      <c r="H722" s="53">
        <v>3.0000000000000001E-3</v>
      </c>
      <c r="I722" s="12">
        <f t="shared" si="227"/>
        <v>7.6989999999999998</v>
      </c>
      <c r="J722" s="52">
        <f>1549.164</f>
        <v>1549.164</v>
      </c>
      <c r="K722" s="52"/>
      <c r="L722" s="52">
        <f t="shared" si="228"/>
        <v>1549.164</v>
      </c>
      <c r="M722" s="52">
        <f>L722/I722</f>
        <v>201.21626185218861</v>
      </c>
      <c r="N722" s="12" t="e">
        <f t="shared" si="229"/>
        <v>#REF!</v>
      </c>
      <c r="O722" s="12" t="e">
        <f t="shared" si="230"/>
        <v>#REF!</v>
      </c>
      <c r="P722" s="12" t="e">
        <f t="shared" si="231"/>
        <v>#REF!</v>
      </c>
    </row>
    <row r="723" spans="1:16" ht="37.5" hidden="1" x14ac:dyDescent="0.3">
      <c r="A723" s="49">
        <v>13</v>
      </c>
      <c r="B723" s="49">
        <v>61</v>
      </c>
      <c r="C723" s="12" t="s">
        <v>1744</v>
      </c>
      <c r="D723" s="61" t="s">
        <v>1083</v>
      </c>
      <c r="E723" s="63" t="s">
        <v>1084</v>
      </c>
      <c r="F723" s="53"/>
      <c r="G723" s="53">
        <v>18.053000000000001</v>
      </c>
      <c r="H723" s="53">
        <v>5.6000000000000001E-2</v>
      </c>
      <c r="I723" s="12">
        <f t="shared" si="227"/>
        <v>18.109000000000002</v>
      </c>
      <c r="J723" s="52">
        <v>36315.786</v>
      </c>
      <c r="K723" s="52">
        <f>426.3*0.6</f>
        <v>255.78</v>
      </c>
      <c r="L723" s="52">
        <f>J723+K723</f>
        <v>36571.565999999999</v>
      </c>
      <c r="M723" s="52">
        <f>L723/I723</f>
        <v>2019.5243249213097</v>
      </c>
      <c r="N723" s="12" t="e">
        <f t="shared" si="229"/>
        <v>#REF!</v>
      </c>
      <c r="O723" s="12" t="e">
        <f t="shared" si="230"/>
        <v>#REF!</v>
      </c>
      <c r="P723" s="12" t="e">
        <f t="shared" si="231"/>
        <v>#REF!</v>
      </c>
    </row>
    <row r="724" spans="1:16" ht="18.75" hidden="1" x14ac:dyDescent="0.3">
      <c r="A724" s="49">
        <v>13</v>
      </c>
      <c r="B724" s="49">
        <v>62</v>
      </c>
      <c r="C724" s="12" t="s">
        <v>1744</v>
      </c>
      <c r="D724" s="61" t="s">
        <v>1085</v>
      </c>
      <c r="E724" s="63" t="s">
        <v>1086</v>
      </c>
      <c r="F724" s="53"/>
      <c r="G724" s="53">
        <v>9.3320000000000007</v>
      </c>
      <c r="H724" s="53">
        <v>1.7000000000000001E-2</v>
      </c>
      <c r="I724" s="12">
        <f t="shared" si="227"/>
        <v>9.3490000000000002</v>
      </c>
      <c r="J724" s="52">
        <v>6458.08</v>
      </c>
      <c r="K724" s="52"/>
      <c r="L724" s="52">
        <f>J724+K724</f>
        <v>6458.08</v>
      </c>
      <c r="M724" s="52">
        <f>L724/I724</f>
        <v>690.77762327521657</v>
      </c>
      <c r="N724" s="12" t="e">
        <f t="shared" si="229"/>
        <v>#REF!</v>
      </c>
      <c r="O724" s="12" t="e">
        <f t="shared" si="230"/>
        <v>#REF!</v>
      </c>
      <c r="P724" s="12" t="e">
        <f t="shared" si="231"/>
        <v>#REF!</v>
      </c>
    </row>
    <row r="725" spans="1:16" ht="18" x14ac:dyDescent="0.35">
      <c r="A725" s="49"/>
      <c r="B725" s="49"/>
      <c r="C725" s="12"/>
      <c r="D725" s="61"/>
      <c r="E725" s="63" t="s">
        <v>2693</v>
      </c>
      <c r="F725" s="53"/>
      <c r="G725" s="53"/>
      <c r="H725" s="53"/>
      <c r="I725" s="66">
        <f>SUBTOTAL(9,I726:I772)</f>
        <v>503.45100000000002</v>
      </c>
      <c r="J725" s="66">
        <f t="shared" ref="J725:L725" si="232">SUBTOTAL(9,J726:J772)</f>
        <v>536416.39599999995</v>
      </c>
      <c r="K725" s="66">
        <f t="shared" si="232"/>
        <v>0</v>
      </c>
      <c r="L725" s="66">
        <f t="shared" si="232"/>
        <v>536416.39599999995</v>
      </c>
      <c r="M725" s="12">
        <f t="shared" ref="M725:M765" si="233">L725/I725</f>
        <v>1065.4788569294726</v>
      </c>
      <c r="N725" s="12"/>
      <c r="O725" s="12"/>
      <c r="P725" s="12"/>
    </row>
    <row r="726" spans="1:16" ht="15.6" x14ac:dyDescent="0.3">
      <c r="A726" s="14">
        <v>14</v>
      </c>
      <c r="B726" s="14" t="s">
        <v>1820</v>
      </c>
      <c r="C726" s="8" t="s">
        <v>1129</v>
      </c>
      <c r="D726" s="28" t="s">
        <v>2239</v>
      </c>
      <c r="E726" s="12" t="s">
        <v>1454</v>
      </c>
      <c r="F726" s="1"/>
      <c r="G726" s="1">
        <v>6.2039999999999997</v>
      </c>
      <c r="H726" s="1">
        <v>1.7000000000000001E-2</v>
      </c>
      <c r="I726" s="84">
        <v>6.2039999999999997</v>
      </c>
      <c r="J726" s="12">
        <f>15756.03-7738.3</f>
        <v>8017.7300000000005</v>
      </c>
      <c r="K726" s="12"/>
      <c r="L726" s="66">
        <f t="shared" ref="L726:L744" si="234">J726+K726</f>
        <v>8017.7300000000005</v>
      </c>
      <c r="M726" s="12">
        <f t="shared" si="233"/>
        <v>1292.348484848485</v>
      </c>
      <c r="N726" s="12" t="e">
        <f t="shared" ref="N726:N744" si="235">M726/$M$1432</f>
        <v>#REF!</v>
      </c>
      <c r="O726" s="12" t="e">
        <f t="shared" ref="O726:O744" si="236">ROUND(IF(N726&lt;110%,0,(M726-$M$1432*1.1)*0.8)*I726,1)</f>
        <v>#REF!</v>
      </c>
      <c r="P726" s="12" t="e">
        <f t="shared" ref="P726:P744" si="237">ROUND(IF(N726&gt;90%,0,(-M726+$M$1432*0.9)*0.8)*I726,1)</f>
        <v>#REF!</v>
      </c>
    </row>
    <row r="727" spans="1:16" ht="15.6" x14ac:dyDescent="0.3">
      <c r="A727" s="14">
        <v>14</v>
      </c>
      <c r="B727" s="14" t="s">
        <v>1822</v>
      </c>
      <c r="C727" s="8" t="s">
        <v>1129</v>
      </c>
      <c r="D727" s="28" t="s">
        <v>2240</v>
      </c>
      <c r="E727" s="12" t="s">
        <v>1455</v>
      </c>
      <c r="F727" s="1"/>
      <c r="G727" s="1">
        <v>14.782999999999999</v>
      </c>
      <c r="H727" s="1">
        <v>1.6E-2</v>
      </c>
      <c r="I727" s="85">
        <v>14.782999999999999</v>
      </c>
      <c r="J727" s="12">
        <v>11488.864</v>
      </c>
      <c r="K727" s="12"/>
      <c r="L727" s="66">
        <f t="shared" si="234"/>
        <v>11488.864</v>
      </c>
      <c r="M727" s="12">
        <f t="shared" si="233"/>
        <v>777.16728674829199</v>
      </c>
      <c r="N727" s="12" t="e">
        <f t="shared" si="235"/>
        <v>#REF!</v>
      </c>
      <c r="O727" s="12" t="e">
        <f t="shared" si="236"/>
        <v>#REF!</v>
      </c>
      <c r="P727" s="12" t="e">
        <f t="shared" si="237"/>
        <v>#REF!</v>
      </c>
    </row>
    <row r="728" spans="1:16" ht="15.6" x14ac:dyDescent="0.3">
      <c r="A728" s="14">
        <v>14</v>
      </c>
      <c r="B728" s="14" t="s">
        <v>1824</v>
      </c>
      <c r="C728" s="8" t="s">
        <v>1129</v>
      </c>
      <c r="D728" s="28" t="s">
        <v>2241</v>
      </c>
      <c r="E728" s="12" t="s">
        <v>1456</v>
      </c>
      <c r="F728" s="1"/>
      <c r="G728" s="1">
        <v>7.8920000000000003</v>
      </c>
      <c r="H728" s="1">
        <v>2.3E-2</v>
      </c>
      <c r="I728" s="85">
        <v>7.8920000000000003</v>
      </c>
      <c r="J728" s="12">
        <f>14953.74-8894.015</f>
        <v>6059.7250000000004</v>
      </c>
      <c r="K728" s="12"/>
      <c r="L728" s="66">
        <f t="shared" si="234"/>
        <v>6059.7250000000004</v>
      </c>
      <c r="M728" s="12">
        <f t="shared" si="233"/>
        <v>767.83134820070961</v>
      </c>
      <c r="N728" s="12" t="e">
        <f t="shared" si="235"/>
        <v>#REF!</v>
      </c>
      <c r="O728" s="12" t="e">
        <f t="shared" si="236"/>
        <v>#REF!</v>
      </c>
      <c r="P728" s="12" t="e">
        <f t="shared" si="237"/>
        <v>#REF!</v>
      </c>
    </row>
    <row r="729" spans="1:16" ht="15.6" x14ac:dyDescent="0.3">
      <c r="A729" s="14">
        <v>14</v>
      </c>
      <c r="B729" s="14" t="s">
        <v>1826</v>
      </c>
      <c r="C729" s="8" t="s">
        <v>1129</v>
      </c>
      <c r="D729" s="28" t="s">
        <v>2242</v>
      </c>
      <c r="E729" s="12" t="s">
        <v>1457</v>
      </c>
      <c r="F729" s="1"/>
      <c r="G729" s="1">
        <v>20.204000000000001</v>
      </c>
      <c r="H729" s="1">
        <v>3.3000000000000002E-2</v>
      </c>
      <c r="I729" s="85">
        <v>20.204000000000001</v>
      </c>
      <c r="J729" s="12">
        <v>16257.1</v>
      </c>
      <c r="K729" s="12"/>
      <c r="L729" s="66">
        <f t="shared" si="234"/>
        <v>16257.1</v>
      </c>
      <c r="M729" s="12">
        <f t="shared" si="233"/>
        <v>804.64759453573549</v>
      </c>
      <c r="N729" s="12" t="e">
        <f t="shared" si="235"/>
        <v>#REF!</v>
      </c>
      <c r="O729" s="12" t="e">
        <f t="shared" si="236"/>
        <v>#REF!</v>
      </c>
      <c r="P729" s="12" t="e">
        <f t="shared" si="237"/>
        <v>#REF!</v>
      </c>
    </row>
    <row r="730" spans="1:16" ht="15.6" x14ac:dyDescent="0.3">
      <c r="A730" s="14">
        <v>14</v>
      </c>
      <c r="B730" s="14">
        <v>10</v>
      </c>
      <c r="C730" s="8" t="s">
        <v>1129</v>
      </c>
      <c r="D730" s="28" t="s">
        <v>2243</v>
      </c>
      <c r="E730" s="12" t="s">
        <v>1458</v>
      </c>
      <c r="F730" s="1"/>
      <c r="G730" s="1">
        <v>17.808</v>
      </c>
      <c r="H730" s="1">
        <v>8.4000000000000005E-2</v>
      </c>
      <c r="I730" s="85">
        <v>17.808</v>
      </c>
      <c r="J730" s="12">
        <v>18321.317999999999</v>
      </c>
      <c r="K730" s="12"/>
      <c r="L730" s="66">
        <f t="shared" si="234"/>
        <v>18321.317999999999</v>
      </c>
      <c r="M730" s="12">
        <f t="shared" si="233"/>
        <v>1028.8251347708895</v>
      </c>
      <c r="N730" s="12" t="e">
        <f t="shared" si="235"/>
        <v>#REF!</v>
      </c>
      <c r="O730" s="12" t="e">
        <f t="shared" si="236"/>
        <v>#REF!</v>
      </c>
      <c r="P730" s="12" t="e">
        <f t="shared" si="237"/>
        <v>#REF!</v>
      </c>
    </row>
    <row r="731" spans="1:16" ht="15.6" x14ac:dyDescent="0.3">
      <c r="A731" s="14">
        <v>14</v>
      </c>
      <c r="B731" s="14">
        <v>11</v>
      </c>
      <c r="C731" s="8" t="s">
        <v>1129</v>
      </c>
      <c r="D731" s="28" t="s">
        <v>2244</v>
      </c>
      <c r="E731" s="12" t="s">
        <v>1459</v>
      </c>
      <c r="F731" s="1"/>
      <c r="G731" s="1">
        <v>10.882999999999999</v>
      </c>
      <c r="H731" s="1">
        <v>1.6E-2</v>
      </c>
      <c r="I731" s="85">
        <v>10.882999999999999</v>
      </c>
      <c r="J731" s="12">
        <v>9575.527</v>
      </c>
      <c r="K731" s="12"/>
      <c r="L731" s="66">
        <f t="shared" si="234"/>
        <v>9575.527</v>
      </c>
      <c r="M731" s="12">
        <f t="shared" si="233"/>
        <v>879.86097583386936</v>
      </c>
      <c r="N731" s="12" t="e">
        <f t="shared" si="235"/>
        <v>#REF!</v>
      </c>
      <c r="O731" s="12" t="e">
        <f t="shared" si="236"/>
        <v>#REF!</v>
      </c>
      <c r="P731" s="12" t="e">
        <f t="shared" si="237"/>
        <v>#REF!</v>
      </c>
    </row>
    <row r="732" spans="1:16" ht="15.6" x14ac:dyDescent="0.3">
      <c r="A732" s="14">
        <v>14</v>
      </c>
      <c r="B732" s="14">
        <v>12</v>
      </c>
      <c r="C732" s="8" t="s">
        <v>1129</v>
      </c>
      <c r="D732" s="28" t="s">
        <v>2245</v>
      </c>
      <c r="E732" s="12" t="s">
        <v>1460</v>
      </c>
      <c r="F732" s="1"/>
      <c r="G732" s="1">
        <v>6.76</v>
      </c>
      <c r="H732" s="1">
        <v>1.4E-2</v>
      </c>
      <c r="I732" s="85">
        <v>6.76</v>
      </c>
      <c r="J732" s="12">
        <f>7678.119-1535.36</f>
        <v>6142.759</v>
      </c>
      <c r="K732" s="12"/>
      <c r="L732" s="66">
        <f t="shared" si="234"/>
        <v>6142.759</v>
      </c>
      <c r="M732" s="12">
        <f t="shared" si="233"/>
        <v>908.69215976331361</v>
      </c>
      <c r="N732" s="12" t="e">
        <f t="shared" si="235"/>
        <v>#REF!</v>
      </c>
      <c r="O732" s="12" t="e">
        <f t="shared" si="236"/>
        <v>#REF!</v>
      </c>
      <c r="P732" s="12" t="e">
        <f t="shared" si="237"/>
        <v>#REF!</v>
      </c>
    </row>
    <row r="733" spans="1:16" ht="15.6" x14ac:dyDescent="0.3">
      <c r="A733" s="14">
        <v>14</v>
      </c>
      <c r="B733" s="14">
        <v>13</v>
      </c>
      <c r="C733" s="8" t="s">
        <v>1129</v>
      </c>
      <c r="D733" s="28" t="s">
        <v>2246</v>
      </c>
      <c r="E733" s="12" t="s">
        <v>1461</v>
      </c>
      <c r="F733" s="1"/>
      <c r="G733" s="1">
        <v>17.405999999999999</v>
      </c>
      <c r="H733" s="1">
        <v>6.9000000000000006E-2</v>
      </c>
      <c r="I733" s="86">
        <v>17.405999999999999</v>
      </c>
      <c r="J733" s="12">
        <v>13874.706</v>
      </c>
      <c r="K733" s="12"/>
      <c r="L733" s="66">
        <f t="shared" si="234"/>
        <v>13874.706</v>
      </c>
      <c r="M733" s="12">
        <f t="shared" si="233"/>
        <v>797.1220268872803</v>
      </c>
      <c r="N733" s="12" t="e">
        <f t="shared" si="235"/>
        <v>#REF!</v>
      </c>
      <c r="O733" s="12" t="e">
        <f t="shared" si="236"/>
        <v>#REF!</v>
      </c>
      <c r="P733" s="12" t="e">
        <f t="shared" si="237"/>
        <v>#REF!</v>
      </c>
    </row>
    <row r="734" spans="1:16" ht="15.6" x14ac:dyDescent="0.3">
      <c r="A734" s="14">
        <v>14</v>
      </c>
      <c r="B734" s="14">
        <v>14</v>
      </c>
      <c r="C734" s="8" t="s">
        <v>1129</v>
      </c>
      <c r="D734" s="28" t="s">
        <v>2247</v>
      </c>
      <c r="E734" s="12" t="s">
        <v>1462</v>
      </c>
      <c r="F734" s="1"/>
      <c r="G734" s="1">
        <v>8.0380000000000003</v>
      </c>
      <c r="H734" s="1">
        <v>0.05</v>
      </c>
      <c r="I734" s="85">
        <v>8.0380000000000003</v>
      </c>
      <c r="J734" s="12">
        <f>8625.03-3459.195</f>
        <v>5165.8350000000009</v>
      </c>
      <c r="K734" s="12"/>
      <c r="L734" s="66">
        <f t="shared" si="234"/>
        <v>5165.8350000000009</v>
      </c>
      <c r="M734" s="12">
        <f t="shared" si="233"/>
        <v>642.67666086091072</v>
      </c>
      <c r="N734" s="12" t="e">
        <f t="shared" si="235"/>
        <v>#REF!</v>
      </c>
      <c r="O734" s="12" t="e">
        <f t="shared" si="236"/>
        <v>#REF!</v>
      </c>
      <c r="P734" s="12" t="e">
        <f t="shared" si="237"/>
        <v>#REF!</v>
      </c>
    </row>
    <row r="735" spans="1:16" ht="15.6" x14ac:dyDescent="0.3">
      <c r="A735" s="14">
        <v>14</v>
      </c>
      <c r="B735" s="14">
        <v>15</v>
      </c>
      <c r="C735" s="8" t="s">
        <v>1129</v>
      </c>
      <c r="D735" s="28" t="s">
        <v>2248</v>
      </c>
      <c r="E735" s="12" t="s">
        <v>1463</v>
      </c>
      <c r="F735" s="1"/>
      <c r="G735" s="1">
        <v>15.363</v>
      </c>
      <c r="H735" s="1">
        <v>2.1000000000000001E-2</v>
      </c>
      <c r="I735" s="85">
        <v>15.363</v>
      </c>
      <c r="J735" s="12">
        <v>12568.534</v>
      </c>
      <c r="K735" s="12"/>
      <c r="L735" s="66">
        <f t="shared" si="234"/>
        <v>12568.534</v>
      </c>
      <c r="M735" s="12">
        <f t="shared" si="233"/>
        <v>818.10414632558741</v>
      </c>
      <c r="N735" s="12" t="e">
        <f t="shared" si="235"/>
        <v>#REF!</v>
      </c>
      <c r="O735" s="12" t="e">
        <f t="shared" si="236"/>
        <v>#REF!</v>
      </c>
      <c r="P735" s="12" t="e">
        <f t="shared" si="237"/>
        <v>#REF!</v>
      </c>
    </row>
    <row r="736" spans="1:16" ht="15.6" x14ac:dyDescent="0.3">
      <c r="A736" s="14">
        <v>14</v>
      </c>
      <c r="B736" s="14">
        <v>16</v>
      </c>
      <c r="C736" s="8" t="s">
        <v>1129</v>
      </c>
      <c r="D736" s="28" t="s">
        <v>2249</v>
      </c>
      <c r="E736" s="12" t="s">
        <v>810</v>
      </c>
      <c r="F736" s="1"/>
      <c r="G736" s="1">
        <v>20.867999999999999</v>
      </c>
      <c r="H736" s="1">
        <v>7.1999999999999995E-2</v>
      </c>
      <c r="I736" s="87">
        <v>20.867999999999999</v>
      </c>
      <c r="J736" s="12">
        <v>30731.241999999998</v>
      </c>
      <c r="K736" s="12"/>
      <c r="L736" s="66">
        <f t="shared" si="234"/>
        <v>30731.241999999998</v>
      </c>
      <c r="M736" s="12">
        <f t="shared" si="233"/>
        <v>1472.6491278512556</v>
      </c>
      <c r="N736" s="12" t="e">
        <f t="shared" si="235"/>
        <v>#REF!</v>
      </c>
      <c r="O736" s="12" t="e">
        <f t="shared" si="236"/>
        <v>#REF!</v>
      </c>
      <c r="P736" s="12" t="e">
        <f t="shared" si="237"/>
        <v>#REF!</v>
      </c>
    </row>
    <row r="737" spans="1:16" ht="15.6" x14ac:dyDescent="0.3">
      <c r="A737" s="14">
        <v>14</v>
      </c>
      <c r="B737" s="14">
        <v>17</v>
      </c>
      <c r="C737" s="8" t="s">
        <v>1129</v>
      </c>
      <c r="D737" s="28" t="s">
        <v>2250</v>
      </c>
      <c r="E737" s="12" t="s">
        <v>1464</v>
      </c>
      <c r="F737" s="1"/>
      <c r="G737" s="1">
        <v>4.13</v>
      </c>
      <c r="H737" s="1">
        <v>1E-3</v>
      </c>
      <c r="I737" s="85">
        <v>4.13</v>
      </c>
      <c r="J737" s="12">
        <f>22209.182-3337.707-15087.663</f>
        <v>3783.8120000000017</v>
      </c>
      <c r="K737" s="12"/>
      <c r="L737" s="66">
        <f t="shared" si="234"/>
        <v>3783.8120000000017</v>
      </c>
      <c r="M737" s="12">
        <f t="shared" si="233"/>
        <v>916.17723970944348</v>
      </c>
      <c r="N737" s="12" t="e">
        <f t="shared" si="235"/>
        <v>#REF!</v>
      </c>
      <c r="O737" s="12" t="e">
        <f t="shared" si="236"/>
        <v>#REF!</v>
      </c>
      <c r="P737" s="12" t="e">
        <f t="shared" si="237"/>
        <v>#REF!</v>
      </c>
    </row>
    <row r="738" spans="1:16" ht="15.6" x14ac:dyDescent="0.3">
      <c r="A738" s="14">
        <v>14</v>
      </c>
      <c r="B738" s="14">
        <v>18</v>
      </c>
      <c r="C738" s="8" t="s">
        <v>1129</v>
      </c>
      <c r="D738" s="28" t="s">
        <v>2251</v>
      </c>
      <c r="E738" s="12" t="s">
        <v>1465</v>
      </c>
      <c r="F738" s="1"/>
      <c r="G738" s="1">
        <v>24.576000000000001</v>
      </c>
      <c r="H738" s="1">
        <v>5.6000000000000001E-2</v>
      </c>
      <c r="I738" s="85">
        <v>24.576000000000001</v>
      </c>
      <c r="J738" s="12">
        <v>27716.413</v>
      </c>
      <c r="K738" s="12"/>
      <c r="L738" s="66">
        <f t="shared" si="234"/>
        <v>27716.413</v>
      </c>
      <c r="M738" s="12">
        <f t="shared" si="233"/>
        <v>1127.7837320963542</v>
      </c>
      <c r="N738" s="12" t="e">
        <f t="shared" si="235"/>
        <v>#REF!</v>
      </c>
      <c r="O738" s="12" t="e">
        <f t="shared" si="236"/>
        <v>#REF!</v>
      </c>
      <c r="P738" s="12" t="e">
        <f t="shared" si="237"/>
        <v>#REF!</v>
      </c>
    </row>
    <row r="739" spans="1:16" ht="15.6" x14ac:dyDescent="0.3">
      <c r="A739" s="14">
        <v>14</v>
      </c>
      <c r="B739" s="14">
        <v>19</v>
      </c>
      <c r="C739" s="8" t="s">
        <v>1129</v>
      </c>
      <c r="D739" s="28" t="s">
        <v>2252</v>
      </c>
      <c r="E739" s="12" t="s">
        <v>1441</v>
      </c>
      <c r="F739" s="1"/>
      <c r="G739" s="1">
        <v>11.097</v>
      </c>
      <c r="H739" s="1">
        <v>4.2000000000000003E-2</v>
      </c>
      <c r="I739" s="87">
        <v>11.097</v>
      </c>
      <c r="J739" s="12">
        <f>10258.066-2838.8</f>
        <v>7419.2660000000005</v>
      </c>
      <c r="K739" s="12"/>
      <c r="L739" s="66">
        <f t="shared" si="234"/>
        <v>7419.2660000000005</v>
      </c>
      <c r="M739" s="12">
        <f t="shared" si="233"/>
        <v>668.58304046138608</v>
      </c>
      <c r="N739" s="12" t="e">
        <f t="shared" si="235"/>
        <v>#REF!</v>
      </c>
      <c r="O739" s="12" t="e">
        <f t="shared" si="236"/>
        <v>#REF!</v>
      </c>
      <c r="P739" s="12" t="e">
        <f t="shared" si="237"/>
        <v>#REF!</v>
      </c>
    </row>
    <row r="740" spans="1:16" ht="15.6" x14ac:dyDescent="0.3">
      <c r="A740" s="14">
        <v>14</v>
      </c>
      <c r="B740" s="14">
        <v>20</v>
      </c>
      <c r="C740" s="8" t="s">
        <v>1129</v>
      </c>
      <c r="D740" s="28" t="s">
        <v>2253</v>
      </c>
      <c r="E740" s="12" t="s">
        <v>1466</v>
      </c>
      <c r="F740" s="1"/>
      <c r="G740" s="1">
        <v>27.760999999999999</v>
      </c>
      <c r="H740" s="1">
        <v>0.09</v>
      </c>
      <c r="I740" s="85">
        <v>27.760999999999999</v>
      </c>
      <c r="J740" s="12">
        <f>23421.157-2296.3</f>
        <v>21124.857</v>
      </c>
      <c r="K740" s="12"/>
      <c r="L740" s="66">
        <f t="shared" si="234"/>
        <v>21124.857</v>
      </c>
      <c r="M740" s="12">
        <f t="shared" si="233"/>
        <v>760.95446849897337</v>
      </c>
      <c r="N740" s="12" t="e">
        <f t="shared" si="235"/>
        <v>#REF!</v>
      </c>
      <c r="O740" s="12" t="e">
        <f t="shared" si="236"/>
        <v>#REF!</v>
      </c>
      <c r="P740" s="12" t="e">
        <f t="shared" si="237"/>
        <v>#REF!</v>
      </c>
    </row>
    <row r="741" spans="1:16" ht="15.6" x14ac:dyDescent="0.3">
      <c r="A741" s="14">
        <v>14</v>
      </c>
      <c r="B741" s="14">
        <v>21</v>
      </c>
      <c r="C741" s="8" t="s">
        <v>1129</v>
      </c>
      <c r="D741" s="28" t="s">
        <v>2254</v>
      </c>
      <c r="E741" s="12" t="s">
        <v>1467</v>
      </c>
      <c r="F741" s="1"/>
      <c r="G741" s="1">
        <v>33.335000000000001</v>
      </c>
      <c r="H741" s="1">
        <v>0.13500000000000001</v>
      </c>
      <c r="I741" s="85">
        <v>33.335000000000001</v>
      </c>
      <c r="J741" s="12">
        <v>28866.187000000002</v>
      </c>
      <c r="K741" s="12"/>
      <c r="L741" s="66">
        <f t="shared" si="234"/>
        <v>28866.187000000002</v>
      </c>
      <c r="M741" s="12">
        <f t="shared" si="233"/>
        <v>865.94231288435583</v>
      </c>
      <c r="N741" s="12" t="e">
        <f t="shared" si="235"/>
        <v>#REF!</v>
      </c>
      <c r="O741" s="12" t="e">
        <f t="shared" si="236"/>
        <v>#REF!</v>
      </c>
      <c r="P741" s="12" t="e">
        <f t="shared" si="237"/>
        <v>#REF!</v>
      </c>
    </row>
    <row r="742" spans="1:16" ht="15.6" x14ac:dyDescent="0.3">
      <c r="A742" s="14">
        <v>14</v>
      </c>
      <c r="B742" s="14">
        <v>22</v>
      </c>
      <c r="C742" s="8" t="s">
        <v>1129</v>
      </c>
      <c r="D742" s="28" t="s">
        <v>2255</v>
      </c>
      <c r="E742" s="12" t="s">
        <v>1468</v>
      </c>
      <c r="F742" s="1"/>
      <c r="G742" s="1">
        <v>2.625</v>
      </c>
      <c r="H742" s="1">
        <v>3.0000000000000001E-3</v>
      </c>
      <c r="I742" s="87">
        <v>2.625</v>
      </c>
      <c r="J742" s="12">
        <f>2752.801-810.724</f>
        <v>1942.0769999999998</v>
      </c>
      <c r="K742" s="12"/>
      <c r="L742" s="66">
        <f t="shared" si="234"/>
        <v>1942.0769999999998</v>
      </c>
      <c r="M742" s="12">
        <f t="shared" si="233"/>
        <v>739.83885714285702</v>
      </c>
      <c r="N742" s="12" t="e">
        <f t="shared" si="235"/>
        <v>#REF!</v>
      </c>
      <c r="O742" s="12" t="e">
        <f t="shared" si="236"/>
        <v>#REF!</v>
      </c>
      <c r="P742" s="12" t="e">
        <f t="shared" si="237"/>
        <v>#REF!</v>
      </c>
    </row>
    <row r="743" spans="1:16" ht="15.6" x14ac:dyDescent="0.3">
      <c r="A743" s="14">
        <v>14</v>
      </c>
      <c r="B743" s="14">
        <v>23</v>
      </c>
      <c r="C743" s="8" t="s">
        <v>1129</v>
      </c>
      <c r="D743" s="28" t="s">
        <v>2256</v>
      </c>
      <c r="E743" s="12" t="s">
        <v>1469</v>
      </c>
      <c r="F743" s="1"/>
      <c r="G743" s="1">
        <v>25.959</v>
      </c>
      <c r="H743" s="1">
        <v>6.7000000000000004E-2</v>
      </c>
      <c r="I743" s="85">
        <v>25.959</v>
      </c>
      <c r="J743" s="12">
        <v>30930.208999999999</v>
      </c>
      <c r="K743" s="12"/>
      <c r="L743" s="66">
        <f t="shared" si="234"/>
        <v>30930.208999999999</v>
      </c>
      <c r="M743" s="12">
        <f t="shared" si="233"/>
        <v>1191.5023305982511</v>
      </c>
      <c r="N743" s="12" t="e">
        <f t="shared" si="235"/>
        <v>#REF!</v>
      </c>
      <c r="O743" s="12" t="e">
        <f t="shared" si="236"/>
        <v>#REF!</v>
      </c>
      <c r="P743" s="12" t="e">
        <f t="shared" si="237"/>
        <v>#REF!</v>
      </c>
    </row>
    <row r="744" spans="1:16" ht="15.6" x14ac:dyDescent="0.3">
      <c r="A744" s="14">
        <v>14</v>
      </c>
      <c r="B744" s="14">
        <v>24</v>
      </c>
      <c r="C744" s="8" t="s">
        <v>1129</v>
      </c>
      <c r="D744" s="28" t="s">
        <v>2257</v>
      </c>
      <c r="E744" s="12" t="s">
        <v>1470</v>
      </c>
      <c r="F744" s="1"/>
      <c r="G744" s="1">
        <v>36.372999999999998</v>
      </c>
      <c r="H744" s="1">
        <v>9.1999999999999998E-2</v>
      </c>
      <c r="I744" s="85">
        <v>36.372999999999998</v>
      </c>
      <c r="J744" s="12">
        <f>37539.917-4612.2</f>
        <v>32927.717000000004</v>
      </c>
      <c r="K744" s="12"/>
      <c r="L744" s="66">
        <f t="shared" si="234"/>
        <v>32927.717000000004</v>
      </c>
      <c r="M744" s="12">
        <f t="shared" si="233"/>
        <v>905.27910812965683</v>
      </c>
      <c r="N744" s="12" t="e">
        <f t="shared" si="235"/>
        <v>#REF!</v>
      </c>
      <c r="O744" s="12" t="e">
        <f t="shared" si="236"/>
        <v>#REF!</v>
      </c>
      <c r="P744" s="12" t="e">
        <f t="shared" si="237"/>
        <v>#REF!</v>
      </c>
    </row>
    <row r="745" spans="1:16" ht="15.6" x14ac:dyDescent="0.3">
      <c r="A745" s="14">
        <v>14</v>
      </c>
      <c r="B745" s="14">
        <v>25</v>
      </c>
      <c r="C745" s="8" t="s">
        <v>1744</v>
      </c>
      <c r="D745" s="28" t="s">
        <v>2633</v>
      </c>
      <c r="E745" s="12" t="s">
        <v>2634</v>
      </c>
      <c r="F745" s="3"/>
      <c r="G745" s="3">
        <v>7.9169999999999998</v>
      </c>
      <c r="H745" s="3">
        <v>3.5999999999999997E-2</v>
      </c>
      <c r="I745" s="84">
        <v>7.9169999999999998</v>
      </c>
      <c r="J745" s="12">
        <v>12162.29</v>
      </c>
      <c r="K745" s="12"/>
      <c r="L745" s="66">
        <f t="shared" ref="L745:L765" si="238">J745+K745</f>
        <v>12162.29</v>
      </c>
      <c r="M745" s="12">
        <f t="shared" si="233"/>
        <v>1536.2245800176836</v>
      </c>
      <c r="N745" s="12" t="e">
        <f t="shared" ref="N745:N772" si="239">M745/$M$1433</f>
        <v>#REF!</v>
      </c>
      <c r="O745" s="12" t="e">
        <f t="shared" ref="O745:O772" si="240">ROUND(IF(N745&lt;110%,0,(M745-$M$1433*1.1)*0.8)*I745,1)</f>
        <v>#REF!</v>
      </c>
      <c r="P745" s="12" t="e">
        <f t="shared" ref="P745:P772" si="241">ROUND(IF(N745&gt;90%,0,(-M745+$M$1433*0.9)*0.8)*I745,1)</f>
        <v>#REF!</v>
      </c>
    </row>
    <row r="746" spans="1:16" ht="15.6" x14ac:dyDescent="0.3">
      <c r="A746" s="14">
        <v>14</v>
      </c>
      <c r="B746" s="14">
        <v>26</v>
      </c>
      <c r="C746" s="8" t="s">
        <v>1744</v>
      </c>
      <c r="D746" s="28" t="s">
        <v>331</v>
      </c>
      <c r="E746" s="12" t="s">
        <v>332</v>
      </c>
      <c r="F746" s="3"/>
      <c r="G746" s="3">
        <v>22.74</v>
      </c>
      <c r="H746" s="3">
        <v>4.4999999999999998E-2</v>
      </c>
      <c r="I746" s="85">
        <v>22.74</v>
      </c>
      <c r="J746" s="12">
        <v>24472.335999999999</v>
      </c>
      <c r="K746" s="12"/>
      <c r="L746" s="66">
        <f t="shared" si="238"/>
        <v>24472.335999999999</v>
      </c>
      <c r="M746" s="12">
        <f t="shared" si="233"/>
        <v>1076.1801231310467</v>
      </c>
      <c r="N746" s="12" t="e">
        <f t="shared" si="239"/>
        <v>#REF!</v>
      </c>
      <c r="O746" s="12" t="e">
        <f t="shared" si="240"/>
        <v>#REF!</v>
      </c>
      <c r="P746" s="12" t="e">
        <f t="shared" si="241"/>
        <v>#REF!</v>
      </c>
    </row>
    <row r="747" spans="1:16" ht="15.6" x14ac:dyDescent="0.3">
      <c r="A747" s="14">
        <v>14</v>
      </c>
      <c r="B747" s="14">
        <v>27</v>
      </c>
      <c r="C747" s="8" t="s">
        <v>1744</v>
      </c>
      <c r="D747" s="28" t="s">
        <v>333</v>
      </c>
      <c r="E747" s="12" t="s">
        <v>334</v>
      </c>
      <c r="F747" s="3"/>
      <c r="G747" s="3">
        <v>9.3800000000000008</v>
      </c>
      <c r="H747" s="3">
        <v>0.02</v>
      </c>
      <c r="I747" s="85">
        <v>9.3800000000000008</v>
      </c>
      <c r="J747" s="12">
        <v>5283.768</v>
      </c>
      <c r="K747" s="12"/>
      <c r="L747" s="66">
        <f t="shared" si="238"/>
        <v>5283.768</v>
      </c>
      <c r="M747" s="12">
        <f t="shared" si="233"/>
        <v>563.30149253731338</v>
      </c>
      <c r="N747" s="12" t="e">
        <f t="shared" si="239"/>
        <v>#REF!</v>
      </c>
      <c r="O747" s="12" t="e">
        <f t="shared" si="240"/>
        <v>#REF!</v>
      </c>
      <c r="P747" s="12" t="e">
        <f t="shared" si="241"/>
        <v>#REF!</v>
      </c>
    </row>
    <row r="748" spans="1:16" ht="15.6" x14ac:dyDescent="0.3">
      <c r="A748" s="14">
        <v>14</v>
      </c>
      <c r="B748" s="14">
        <v>28</v>
      </c>
      <c r="C748" s="8" t="s">
        <v>1744</v>
      </c>
      <c r="D748" s="28" t="s">
        <v>335</v>
      </c>
      <c r="E748" s="12" t="s">
        <v>336</v>
      </c>
      <c r="F748" s="3"/>
      <c r="G748" s="3">
        <v>11.983000000000001</v>
      </c>
      <c r="H748" s="3">
        <v>5.6000000000000001E-2</v>
      </c>
      <c r="I748" s="85">
        <v>11.983000000000001</v>
      </c>
      <c r="J748" s="12">
        <v>10843.347</v>
      </c>
      <c r="K748" s="12"/>
      <c r="L748" s="66">
        <f t="shared" si="238"/>
        <v>10843.347</v>
      </c>
      <c r="M748" s="12">
        <f t="shared" si="233"/>
        <v>904.89418342652084</v>
      </c>
      <c r="N748" s="12" t="e">
        <f t="shared" si="239"/>
        <v>#REF!</v>
      </c>
      <c r="O748" s="12" t="e">
        <f t="shared" si="240"/>
        <v>#REF!</v>
      </c>
      <c r="P748" s="12" t="e">
        <f t="shared" si="241"/>
        <v>#REF!</v>
      </c>
    </row>
    <row r="749" spans="1:16" ht="15.6" x14ac:dyDescent="0.3">
      <c r="A749" s="14">
        <v>14</v>
      </c>
      <c r="B749" s="14">
        <v>29</v>
      </c>
      <c r="C749" s="8" t="s">
        <v>1744</v>
      </c>
      <c r="D749" s="28" t="s">
        <v>337</v>
      </c>
      <c r="E749" s="12" t="s">
        <v>338</v>
      </c>
      <c r="F749" s="3"/>
      <c r="G749" s="3">
        <v>11.167999999999999</v>
      </c>
      <c r="H749" s="3">
        <v>4.0000000000000001E-3</v>
      </c>
      <c r="I749" s="85">
        <v>11.167999999999999</v>
      </c>
      <c r="J749" s="12">
        <v>3652.672</v>
      </c>
      <c r="K749" s="12"/>
      <c r="L749" s="66">
        <f t="shared" si="238"/>
        <v>3652.672</v>
      </c>
      <c r="M749" s="12">
        <f t="shared" si="233"/>
        <v>327.06590257879657</v>
      </c>
      <c r="N749" s="12" t="e">
        <f t="shared" si="239"/>
        <v>#REF!</v>
      </c>
      <c r="O749" s="12" t="e">
        <f t="shared" si="240"/>
        <v>#REF!</v>
      </c>
      <c r="P749" s="12" t="e">
        <f t="shared" si="241"/>
        <v>#REF!</v>
      </c>
    </row>
    <row r="750" spans="1:16" ht="15.6" x14ac:dyDescent="0.3">
      <c r="A750" s="14">
        <v>14</v>
      </c>
      <c r="B750" s="14">
        <v>30</v>
      </c>
      <c r="C750" s="8" t="s">
        <v>1744</v>
      </c>
      <c r="D750" s="28" t="s">
        <v>339</v>
      </c>
      <c r="E750" s="12" t="s">
        <v>340</v>
      </c>
      <c r="F750" s="3"/>
      <c r="G750" s="3">
        <v>8.3000000000000007</v>
      </c>
      <c r="H750" s="3">
        <v>1E-3</v>
      </c>
      <c r="I750" s="85">
        <v>8.3000000000000007</v>
      </c>
      <c r="J750" s="12">
        <v>7704.4520000000002</v>
      </c>
      <c r="K750" s="12"/>
      <c r="L750" s="66">
        <f t="shared" si="238"/>
        <v>7704.4520000000002</v>
      </c>
      <c r="M750" s="12">
        <f t="shared" si="233"/>
        <v>928.24722891566262</v>
      </c>
      <c r="N750" s="12" t="e">
        <f t="shared" si="239"/>
        <v>#REF!</v>
      </c>
      <c r="O750" s="12" t="e">
        <f t="shared" si="240"/>
        <v>#REF!</v>
      </c>
      <c r="P750" s="12" t="e">
        <f t="shared" si="241"/>
        <v>#REF!</v>
      </c>
    </row>
    <row r="751" spans="1:16" ht="15.6" x14ac:dyDescent="0.3">
      <c r="A751" s="14">
        <v>14</v>
      </c>
      <c r="B751" s="14">
        <v>31</v>
      </c>
      <c r="C751" s="8" t="s">
        <v>1744</v>
      </c>
      <c r="D751" s="28" t="s">
        <v>341</v>
      </c>
      <c r="E751" s="12" t="s">
        <v>342</v>
      </c>
      <c r="F751" s="3"/>
      <c r="G751" s="3">
        <v>5.94</v>
      </c>
      <c r="H751" s="3">
        <v>5.0999999999999997E-2</v>
      </c>
      <c r="I751" s="85">
        <v>5.94</v>
      </c>
      <c r="J751" s="12">
        <v>11264.572</v>
      </c>
      <c r="K751" s="12"/>
      <c r="L751" s="66">
        <f t="shared" si="238"/>
        <v>11264.572</v>
      </c>
      <c r="M751" s="12">
        <f t="shared" si="233"/>
        <v>1896.3925925925926</v>
      </c>
      <c r="N751" s="12" t="e">
        <f t="shared" si="239"/>
        <v>#REF!</v>
      </c>
      <c r="O751" s="12" t="e">
        <f t="shared" si="240"/>
        <v>#REF!</v>
      </c>
      <c r="P751" s="12" t="e">
        <f t="shared" si="241"/>
        <v>#REF!</v>
      </c>
    </row>
    <row r="752" spans="1:16" ht="15.6" x14ac:dyDescent="0.3">
      <c r="A752" s="14">
        <v>14</v>
      </c>
      <c r="B752" s="14">
        <v>32</v>
      </c>
      <c r="C752" s="8" t="s">
        <v>1744</v>
      </c>
      <c r="D752" s="28" t="s">
        <v>343</v>
      </c>
      <c r="E752" s="12" t="s">
        <v>344</v>
      </c>
      <c r="F752" s="3"/>
      <c r="G752" s="3">
        <v>3.42</v>
      </c>
      <c r="H752" s="3">
        <v>4.2000000000000003E-2</v>
      </c>
      <c r="I752" s="85">
        <v>3.42</v>
      </c>
      <c r="J752" s="12">
        <v>6849.2929999999997</v>
      </c>
      <c r="K752" s="12"/>
      <c r="L752" s="66">
        <f t="shared" si="238"/>
        <v>6849.2929999999997</v>
      </c>
      <c r="M752" s="12">
        <f t="shared" si="233"/>
        <v>2002.7172514619883</v>
      </c>
      <c r="N752" s="12" t="e">
        <f t="shared" si="239"/>
        <v>#REF!</v>
      </c>
      <c r="O752" s="12" t="e">
        <f t="shared" si="240"/>
        <v>#REF!</v>
      </c>
      <c r="P752" s="12" t="e">
        <f t="shared" si="241"/>
        <v>#REF!</v>
      </c>
    </row>
    <row r="753" spans="1:16" ht="15.6" x14ac:dyDescent="0.3">
      <c r="A753" s="14">
        <v>14</v>
      </c>
      <c r="B753" s="14">
        <v>33</v>
      </c>
      <c r="C753" s="8" t="s">
        <v>1744</v>
      </c>
      <c r="D753" s="28" t="s">
        <v>345</v>
      </c>
      <c r="E753" s="12" t="s">
        <v>346</v>
      </c>
      <c r="F753" s="3"/>
      <c r="G753" s="3">
        <v>3.899</v>
      </c>
      <c r="H753" s="3">
        <v>1.4E-2</v>
      </c>
      <c r="I753" s="85">
        <v>3.899</v>
      </c>
      <c r="J753" s="12">
        <v>3491.46</v>
      </c>
      <c r="K753" s="12"/>
      <c r="L753" s="66">
        <f t="shared" si="238"/>
        <v>3491.46</v>
      </c>
      <c r="M753" s="12">
        <f t="shared" si="233"/>
        <v>895.475763016158</v>
      </c>
      <c r="N753" s="12" t="e">
        <f t="shared" si="239"/>
        <v>#REF!</v>
      </c>
      <c r="O753" s="12" t="e">
        <f t="shared" si="240"/>
        <v>#REF!</v>
      </c>
      <c r="P753" s="12" t="e">
        <f t="shared" si="241"/>
        <v>#REF!</v>
      </c>
    </row>
    <row r="754" spans="1:16" ht="15.6" x14ac:dyDescent="0.3">
      <c r="A754" s="14">
        <v>14</v>
      </c>
      <c r="B754" s="14">
        <v>34</v>
      </c>
      <c r="C754" s="8" t="s">
        <v>1744</v>
      </c>
      <c r="D754" s="28" t="s">
        <v>347</v>
      </c>
      <c r="E754" s="12" t="s">
        <v>348</v>
      </c>
      <c r="F754" s="3"/>
      <c r="G754" s="3">
        <v>5.73</v>
      </c>
      <c r="H754" s="3">
        <v>1.6E-2</v>
      </c>
      <c r="I754" s="85">
        <v>5.73</v>
      </c>
      <c r="J754" s="12">
        <v>15594.61</v>
      </c>
      <c r="K754" s="12"/>
      <c r="L754" s="66">
        <f t="shared" si="238"/>
        <v>15594.61</v>
      </c>
      <c r="M754" s="12">
        <f t="shared" si="233"/>
        <v>2721.5724258289702</v>
      </c>
      <c r="N754" s="12" t="e">
        <f t="shared" si="239"/>
        <v>#REF!</v>
      </c>
      <c r="O754" s="12" t="e">
        <f t="shared" si="240"/>
        <v>#REF!</v>
      </c>
      <c r="P754" s="12" t="e">
        <f t="shared" si="241"/>
        <v>#REF!</v>
      </c>
    </row>
    <row r="755" spans="1:16" ht="15.6" x14ac:dyDescent="0.3">
      <c r="A755" s="14">
        <v>14</v>
      </c>
      <c r="B755" s="14">
        <v>35</v>
      </c>
      <c r="C755" s="8" t="s">
        <v>1744</v>
      </c>
      <c r="D755" s="28" t="s">
        <v>349</v>
      </c>
      <c r="E755" s="12" t="s">
        <v>350</v>
      </c>
      <c r="F755" s="3"/>
      <c r="G755" s="3">
        <v>3.202</v>
      </c>
      <c r="H755" s="3">
        <v>0.02</v>
      </c>
      <c r="I755" s="85">
        <v>3.202</v>
      </c>
      <c r="J755" s="12">
        <v>4017.3969999999999</v>
      </c>
      <c r="K755" s="12"/>
      <c r="L755" s="66">
        <f t="shared" si="238"/>
        <v>4017.3969999999999</v>
      </c>
      <c r="M755" s="12">
        <f t="shared" si="233"/>
        <v>1254.6524047470332</v>
      </c>
      <c r="N755" s="12" t="e">
        <f t="shared" si="239"/>
        <v>#REF!</v>
      </c>
      <c r="O755" s="12" t="e">
        <f t="shared" si="240"/>
        <v>#REF!</v>
      </c>
      <c r="P755" s="12" t="e">
        <f t="shared" si="241"/>
        <v>#REF!</v>
      </c>
    </row>
    <row r="756" spans="1:16" ht="15.6" x14ac:dyDescent="0.3">
      <c r="A756" s="14">
        <v>14</v>
      </c>
      <c r="B756" s="14">
        <v>36</v>
      </c>
      <c r="C756" s="8" t="s">
        <v>1744</v>
      </c>
      <c r="D756" s="28" t="s">
        <v>351</v>
      </c>
      <c r="E756" s="12" t="s">
        <v>352</v>
      </c>
      <c r="F756" s="3"/>
      <c r="G756" s="3">
        <v>7.7110000000000003</v>
      </c>
      <c r="H756" s="3">
        <v>2.5000000000000001E-2</v>
      </c>
      <c r="I756" s="85">
        <v>7.7110000000000003</v>
      </c>
      <c r="J756" s="12">
        <v>46521.836000000003</v>
      </c>
      <c r="K756" s="12"/>
      <c r="L756" s="66">
        <f t="shared" si="238"/>
        <v>46521.836000000003</v>
      </c>
      <c r="M756" s="12">
        <f t="shared" si="233"/>
        <v>6033.1780573207106</v>
      </c>
      <c r="N756" s="12" t="e">
        <f t="shared" si="239"/>
        <v>#REF!</v>
      </c>
      <c r="O756" s="12" t="e">
        <f t="shared" si="240"/>
        <v>#REF!</v>
      </c>
      <c r="P756" s="12" t="e">
        <f t="shared" si="241"/>
        <v>#REF!</v>
      </c>
    </row>
    <row r="757" spans="1:16" ht="15.6" x14ac:dyDescent="0.3">
      <c r="A757" s="14">
        <v>14</v>
      </c>
      <c r="B757" s="14">
        <v>37</v>
      </c>
      <c r="C757" s="8" t="s">
        <v>1744</v>
      </c>
      <c r="D757" s="28" t="s">
        <v>353</v>
      </c>
      <c r="E757" s="12" t="s">
        <v>354</v>
      </c>
      <c r="F757" s="3"/>
      <c r="G757" s="3">
        <v>6.5419999999999998</v>
      </c>
      <c r="H757" s="3">
        <v>4.4999999999999998E-2</v>
      </c>
      <c r="I757" s="85">
        <v>6.5419999999999998</v>
      </c>
      <c r="J757" s="12">
        <v>8226.7659999999996</v>
      </c>
      <c r="K757" s="12"/>
      <c r="L757" s="66">
        <f t="shared" si="238"/>
        <v>8226.7659999999996</v>
      </c>
      <c r="M757" s="12">
        <f t="shared" si="233"/>
        <v>1257.5307245490676</v>
      </c>
      <c r="N757" s="12" t="e">
        <f t="shared" si="239"/>
        <v>#REF!</v>
      </c>
      <c r="O757" s="12" t="e">
        <f t="shared" si="240"/>
        <v>#REF!</v>
      </c>
      <c r="P757" s="12" t="e">
        <f t="shared" si="241"/>
        <v>#REF!</v>
      </c>
    </row>
    <row r="758" spans="1:16" ht="15.6" x14ac:dyDescent="0.3">
      <c r="A758" s="14">
        <v>14</v>
      </c>
      <c r="B758" s="14">
        <v>38</v>
      </c>
      <c r="C758" s="8" t="s">
        <v>1744</v>
      </c>
      <c r="D758" s="28" t="s">
        <v>355</v>
      </c>
      <c r="E758" s="12" t="s">
        <v>356</v>
      </c>
      <c r="F758" s="3"/>
      <c r="G758" s="3">
        <v>2.8620000000000001</v>
      </c>
      <c r="H758" s="3">
        <v>6.0000000000000001E-3</v>
      </c>
      <c r="I758" s="85">
        <v>2.8620000000000001</v>
      </c>
      <c r="J758" s="12">
        <v>5484.8119999999999</v>
      </c>
      <c r="K758" s="12"/>
      <c r="L758" s="66">
        <f t="shared" si="238"/>
        <v>5484.8119999999999</v>
      </c>
      <c r="M758" s="12">
        <f t="shared" si="233"/>
        <v>1916.4262753319356</v>
      </c>
      <c r="N758" s="12" t="e">
        <f t="shared" si="239"/>
        <v>#REF!</v>
      </c>
      <c r="O758" s="12" t="e">
        <f t="shared" si="240"/>
        <v>#REF!</v>
      </c>
      <c r="P758" s="12" t="e">
        <f t="shared" si="241"/>
        <v>#REF!</v>
      </c>
    </row>
    <row r="759" spans="1:16" ht="15.6" x14ac:dyDescent="0.3">
      <c r="A759" s="14">
        <v>14</v>
      </c>
      <c r="B759" s="14">
        <v>39</v>
      </c>
      <c r="C759" s="8" t="s">
        <v>1744</v>
      </c>
      <c r="D759" s="28" t="s">
        <v>357</v>
      </c>
      <c r="E759" s="12" t="s">
        <v>358</v>
      </c>
      <c r="F759" s="3"/>
      <c r="G759" s="3">
        <v>3.6880000000000002</v>
      </c>
      <c r="H759" s="3">
        <v>5.0000000000000001E-3</v>
      </c>
      <c r="I759" s="85">
        <v>3.6880000000000002</v>
      </c>
      <c r="J759" s="12">
        <v>4644.518</v>
      </c>
      <c r="K759" s="12"/>
      <c r="L759" s="66">
        <f t="shared" si="238"/>
        <v>4644.518</v>
      </c>
      <c r="M759" s="12">
        <f t="shared" si="233"/>
        <v>1259.3595444685466</v>
      </c>
      <c r="N759" s="12" t="e">
        <f t="shared" si="239"/>
        <v>#REF!</v>
      </c>
      <c r="O759" s="12" t="e">
        <f t="shared" si="240"/>
        <v>#REF!</v>
      </c>
      <c r="P759" s="12" t="e">
        <f t="shared" si="241"/>
        <v>#REF!</v>
      </c>
    </row>
    <row r="760" spans="1:16" ht="15.6" x14ac:dyDescent="0.3">
      <c r="A760" s="14">
        <v>14</v>
      </c>
      <c r="B760" s="14">
        <v>40</v>
      </c>
      <c r="C760" s="8" t="s">
        <v>1744</v>
      </c>
      <c r="D760" s="28" t="s">
        <v>359</v>
      </c>
      <c r="E760" s="12" t="s">
        <v>360</v>
      </c>
      <c r="F760" s="3"/>
      <c r="G760" s="3">
        <v>3.613</v>
      </c>
      <c r="H760" s="3">
        <v>1.4E-2</v>
      </c>
      <c r="I760" s="85">
        <v>3.613</v>
      </c>
      <c r="J760" s="12">
        <v>2427.4850000000001</v>
      </c>
      <c r="K760" s="12"/>
      <c r="L760" s="66">
        <f t="shared" si="238"/>
        <v>2427.4850000000001</v>
      </c>
      <c r="M760" s="12">
        <f t="shared" si="233"/>
        <v>671.87517298643786</v>
      </c>
      <c r="N760" s="12" t="e">
        <f t="shared" si="239"/>
        <v>#REF!</v>
      </c>
      <c r="O760" s="12" t="e">
        <f t="shared" si="240"/>
        <v>#REF!</v>
      </c>
      <c r="P760" s="12" t="e">
        <f t="shared" si="241"/>
        <v>#REF!</v>
      </c>
    </row>
    <row r="761" spans="1:16" ht="15.6" x14ac:dyDescent="0.3">
      <c r="A761" s="14">
        <v>14</v>
      </c>
      <c r="B761" s="14">
        <v>41</v>
      </c>
      <c r="C761" s="8" t="s">
        <v>1744</v>
      </c>
      <c r="D761" s="28" t="s">
        <v>361</v>
      </c>
      <c r="E761" s="12" t="s">
        <v>362</v>
      </c>
      <c r="F761" s="3"/>
      <c r="G761" s="3">
        <v>8.077</v>
      </c>
      <c r="H761" s="3">
        <v>1.4999999999999999E-2</v>
      </c>
      <c r="I761" s="85">
        <v>8.077</v>
      </c>
      <c r="J761" s="12">
        <v>7773.5479999999998</v>
      </c>
      <c r="K761" s="12"/>
      <c r="L761" s="66">
        <f t="shared" si="238"/>
        <v>7773.5479999999998</v>
      </c>
      <c r="M761" s="12">
        <f t="shared" si="233"/>
        <v>962.43011018942673</v>
      </c>
      <c r="N761" s="12" t="e">
        <f t="shared" si="239"/>
        <v>#REF!</v>
      </c>
      <c r="O761" s="12" t="e">
        <f t="shared" si="240"/>
        <v>#REF!</v>
      </c>
      <c r="P761" s="12" t="e">
        <f t="shared" si="241"/>
        <v>#REF!</v>
      </c>
    </row>
    <row r="762" spans="1:16" ht="15.6" x14ac:dyDescent="0.3">
      <c r="A762" s="14">
        <v>14</v>
      </c>
      <c r="B762" s="14">
        <v>42</v>
      </c>
      <c r="C762" s="8" t="s">
        <v>1744</v>
      </c>
      <c r="D762" s="28" t="s">
        <v>363</v>
      </c>
      <c r="E762" s="12" t="s">
        <v>364</v>
      </c>
      <c r="F762" s="3"/>
      <c r="G762" s="3">
        <v>3.6360000000000001</v>
      </c>
      <c r="H762" s="3">
        <v>2.4E-2</v>
      </c>
      <c r="I762" s="85">
        <v>3.6360000000000001</v>
      </c>
      <c r="J762" s="12">
        <v>2807.2080000000001</v>
      </c>
      <c r="K762" s="12"/>
      <c r="L762" s="66">
        <f t="shared" si="238"/>
        <v>2807.2080000000001</v>
      </c>
      <c r="M762" s="12">
        <f t="shared" si="233"/>
        <v>772.05940594059405</v>
      </c>
      <c r="N762" s="12" t="e">
        <f t="shared" si="239"/>
        <v>#REF!</v>
      </c>
      <c r="O762" s="12" t="e">
        <f t="shared" si="240"/>
        <v>#REF!</v>
      </c>
      <c r="P762" s="12" t="e">
        <f t="shared" si="241"/>
        <v>#REF!</v>
      </c>
    </row>
    <row r="763" spans="1:16" ht="15.6" x14ac:dyDescent="0.3">
      <c r="A763" s="14">
        <v>14</v>
      </c>
      <c r="B763" s="14">
        <v>43</v>
      </c>
      <c r="C763" s="8" t="s">
        <v>1744</v>
      </c>
      <c r="D763" s="28" t="s">
        <v>365</v>
      </c>
      <c r="E763" s="12" t="s">
        <v>366</v>
      </c>
      <c r="F763" s="3"/>
      <c r="G763" s="3">
        <v>10.493</v>
      </c>
      <c r="H763" s="3">
        <v>7.4999999999999997E-2</v>
      </c>
      <c r="I763" s="85">
        <v>10.493</v>
      </c>
      <c r="J763" s="12">
        <v>9669.884</v>
      </c>
      <c r="K763" s="12"/>
      <c r="L763" s="66">
        <f t="shared" si="238"/>
        <v>9669.884</v>
      </c>
      <c r="M763" s="12">
        <f t="shared" si="233"/>
        <v>921.55570380253505</v>
      </c>
      <c r="N763" s="12" t="e">
        <f t="shared" si="239"/>
        <v>#REF!</v>
      </c>
      <c r="O763" s="12" t="e">
        <f t="shared" si="240"/>
        <v>#REF!</v>
      </c>
      <c r="P763" s="12" t="e">
        <f t="shared" si="241"/>
        <v>#REF!</v>
      </c>
    </row>
    <row r="764" spans="1:16" ht="15.6" x14ac:dyDescent="0.3">
      <c r="A764" s="14">
        <v>14</v>
      </c>
      <c r="B764" s="14">
        <v>44</v>
      </c>
      <c r="C764" s="8" t="s">
        <v>1744</v>
      </c>
      <c r="D764" s="28" t="s">
        <v>548</v>
      </c>
      <c r="E764" s="42" t="s">
        <v>811</v>
      </c>
      <c r="F764" s="44"/>
      <c r="G764" s="44">
        <v>2.7829999999999999</v>
      </c>
      <c r="H764" s="44">
        <v>1.2999999999999999E-2</v>
      </c>
      <c r="I764" s="88">
        <v>2.7829999999999999</v>
      </c>
      <c r="J764" s="42">
        <v>1535.36</v>
      </c>
      <c r="K764" s="42"/>
      <c r="L764" s="82">
        <f t="shared" si="238"/>
        <v>1535.36</v>
      </c>
      <c r="M764" s="42">
        <f t="shared" si="233"/>
        <v>551.69241825368306</v>
      </c>
      <c r="N764" s="12" t="e">
        <f t="shared" si="239"/>
        <v>#REF!</v>
      </c>
      <c r="O764" s="12" t="e">
        <f t="shared" si="240"/>
        <v>#REF!</v>
      </c>
      <c r="P764" s="12" t="e">
        <f t="shared" si="241"/>
        <v>#REF!</v>
      </c>
    </row>
    <row r="765" spans="1:16" ht="15.6" x14ac:dyDescent="0.3">
      <c r="A765" s="49">
        <v>14</v>
      </c>
      <c r="B765" s="49">
        <v>45</v>
      </c>
      <c r="C765" s="50" t="s">
        <v>1744</v>
      </c>
      <c r="D765" s="51" t="s">
        <v>812</v>
      </c>
      <c r="E765" s="52" t="s">
        <v>813</v>
      </c>
      <c r="F765" s="60"/>
      <c r="G765" s="60">
        <v>3.1040000000000001</v>
      </c>
      <c r="H765" s="60">
        <v>6.0000000000000001E-3</v>
      </c>
      <c r="I765" s="88">
        <v>3.1040000000000001</v>
      </c>
      <c r="J765" s="52">
        <v>2296.3000000000002</v>
      </c>
      <c r="K765" s="52"/>
      <c r="L765" s="83">
        <f t="shared" si="238"/>
        <v>2296.3000000000002</v>
      </c>
      <c r="M765" s="52">
        <f t="shared" si="233"/>
        <v>739.78737113402065</v>
      </c>
      <c r="N765" s="12" t="e">
        <f t="shared" si="239"/>
        <v>#REF!</v>
      </c>
      <c r="O765" s="12" t="e">
        <f t="shared" si="240"/>
        <v>#REF!</v>
      </c>
      <c r="P765" s="12" t="e">
        <f t="shared" si="241"/>
        <v>#REF!</v>
      </c>
    </row>
    <row r="766" spans="1:16" ht="18" x14ac:dyDescent="0.35">
      <c r="A766" s="49">
        <v>14</v>
      </c>
      <c r="B766" s="14">
        <v>46</v>
      </c>
      <c r="C766" s="12" t="s">
        <v>1744</v>
      </c>
      <c r="D766" s="61" t="s">
        <v>1087</v>
      </c>
      <c r="E766" s="63" t="s">
        <v>1088</v>
      </c>
      <c r="F766" s="60"/>
      <c r="G766" s="60">
        <v>8.7360000000000007</v>
      </c>
      <c r="H766" s="60">
        <v>0.02</v>
      </c>
      <c r="I766" s="89">
        <v>8.7360000000000007</v>
      </c>
      <c r="J766" s="52">
        <v>8894.0149999999994</v>
      </c>
      <c r="K766" s="52"/>
      <c r="L766" s="83">
        <f t="shared" ref="L766:L772" si="242">J766+K766</f>
        <v>8894.0149999999994</v>
      </c>
      <c r="M766" s="52">
        <f t="shared" ref="M766:M772" si="243">L766/I766</f>
        <v>1018.0877976190475</v>
      </c>
      <c r="N766" s="12" t="e">
        <f t="shared" si="239"/>
        <v>#REF!</v>
      </c>
      <c r="O766" s="12" t="e">
        <f t="shared" si="240"/>
        <v>#REF!</v>
      </c>
      <c r="P766" s="12" t="e">
        <f t="shared" si="241"/>
        <v>#REF!</v>
      </c>
    </row>
    <row r="767" spans="1:16" ht="18" x14ac:dyDescent="0.35">
      <c r="A767" s="49">
        <v>14</v>
      </c>
      <c r="B767" s="49">
        <v>47</v>
      </c>
      <c r="C767" s="12" t="s">
        <v>1744</v>
      </c>
      <c r="D767" s="61" t="s">
        <v>1089</v>
      </c>
      <c r="E767" s="63" t="s">
        <v>1090</v>
      </c>
      <c r="F767" s="60"/>
      <c r="G767" s="60">
        <v>5.2560000000000002</v>
      </c>
      <c r="H767" s="60">
        <v>1.2999999999999999E-2</v>
      </c>
      <c r="I767" s="89">
        <v>5.2560000000000002</v>
      </c>
      <c r="J767" s="52">
        <v>3459.1950000000002</v>
      </c>
      <c r="K767" s="52"/>
      <c r="L767" s="83">
        <f t="shared" si="242"/>
        <v>3459.1950000000002</v>
      </c>
      <c r="M767" s="52">
        <f t="shared" si="243"/>
        <v>658.14212328767121</v>
      </c>
      <c r="N767" s="12" t="e">
        <f t="shared" si="239"/>
        <v>#REF!</v>
      </c>
      <c r="O767" s="12" t="e">
        <f t="shared" si="240"/>
        <v>#REF!</v>
      </c>
      <c r="P767" s="12" t="e">
        <f t="shared" si="241"/>
        <v>#REF!</v>
      </c>
    </row>
    <row r="768" spans="1:16" ht="18" x14ac:dyDescent="0.35">
      <c r="A768" s="49">
        <v>14</v>
      </c>
      <c r="B768" s="14">
        <v>48</v>
      </c>
      <c r="C768" s="12" t="s">
        <v>1744</v>
      </c>
      <c r="D768" s="61" t="s">
        <v>1091</v>
      </c>
      <c r="E768" s="63" t="s">
        <v>1092</v>
      </c>
      <c r="F768" s="60"/>
      <c r="G768" s="60">
        <v>2.8050000000000002</v>
      </c>
      <c r="H768" s="60">
        <v>2E-3</v>
      </c>
      <c r="I768" s="89">
        <v>2.8050000000000002</v>
      </c>
      <c r="J768" s="52">
        <v>3337.7069999999999</v>
      </c>
      <c r="K768" s="52"/>
      <c r="L768" s="83">
        <f t="shared" si="242"/>
        <v>3337.7069999999999</v>
      </c>
      <c r="M768" s="52">
        <f t="shared" si="243"/>
        <v>1189.9133689839571</v>
      </c>
      <c r="N768" s="12" t="e">
        <f t="shared" si="239"/>
        <v>#REF!</v>
      </c>
      <c r="O768" s="12" t="e">
        <f t="shared" si="240"/>
        <v>#REF!</v>
      </c>
      <c r="P768" s="12" t="e">
        <f t="shared" si="241"/>
        <v>#REF!</v>
      </c>
    </row>
    <row r="769" spans="1:16" ht="18" x14ac:dyDescent="0.35">
      <c r="A769" s="49">
        <v>14</v>
      </c>
      <c r="B769" s="49">
        <v>49</v>
      </c>
      <c r="C769" s="12" t="s">
        <v>1744</v>
      </c>
      <c r="D769" s="61" t="s">
        <v>1093</v>
      </c>
      <c r="E769" s="63" t="s">
        <v>1094</v>
      </c>
      <c r="F769" s="60"/>
      <c r="G769" s="60">
        <v>12.521000000000001</v>
      </c>
      <c r="H769" s="60">
        <v>6.0999999999999999E-2</v>
      </c>
      <c r="I769" s="89">
        <v>12.521000000000001</v>
      </c>
      <c r="J769" s="52">
        <v>15087.663</v>
      </c>
      <c r="K769" s="52"/>
      <c r="L769" s="83">
        <f t="shared" si="242"/>
        <v>15087.663</v>
      </c>
      <c r="M769" s="52">
        <f t="shared" si="243"/>
        <v>1204.9886590527913</v>
      </c>
      <c r="N769" s="12" t="e">
        <f t="shared" si="239"/>
        <v>#REF!</v>
      </c>
      <c r="O769" s="12" t="e">
        <f t="shared" si="240"/>
        <v>#REF!</v>
      </c>
      <c r="P769" s="12" t="e">
        <f t="shared" si="241"/>
        <v>#REF!</v>
      </c>
    </row>
    <row r="770" spans="1:16" ht="18" x14ac:dyDescent="0.35">
      <c r="A770" s="49">
        <v>14</v>
      </c>
      <c r="B770" s="14">
        <v>50</v>
      </c>
      <c r="C770" s="12" t="s">
        <v>1744</v>
      </c>
      <c r="D770" s="61" t="s">
        <v>1095</v>
      </c>
      <c r="E770" s="63" t="s">
        <v>1096</v>
      </c>
      <c r="F770" s="60"/>
      <c r="G770" s="60">
        <v>3.58</v>
      </c>
      <c r="H770" s="60">
        <v>3.0000000000000001E-3</v>
      </c>
      <c r="I770" s="89">
        <v>3.58</v>
      </c>
      <c r="J770" s="52">
        <v>4612.2</v>
      </c>
      <c r="K770" s="52"/>
      <c r="L770" s="83">
        <f t="shared" si="242"/>
        <v>4612.2</v>
      </c>
      <c r="M770" s="52">
        <f t="shared" si="243"/>
        <v>1288.3240223463686</v>
      </c>
      <c r="N770" s="12" t="e">
        <f t="shared" si="239"/>
        <v>#REF!</v>
      </c>
      <c r="O770" s="12" t="e">
        <f t="shared" si="240"/>
        <v>#REF!</v>
      </c>
      <c r="P770" s="12" t="e">
        <f t="shared" si="241"/>
        <v>#REF!</v>
      </c>
    </row>
    <row r="771" spans="1:16" ht="36" x14ac:dyDescent="0.35">
      <c r="A771" s="49">
        <v>14</v>
      </c>
      <c r="B771" s="49">
        <v>51</v>
      </c>
      <c r="C771" s="12" t="s">
        <v>1744</v>
      </c>
      <c r="D771" s="61" t="s">
        <v>1097</v>
      </c>
      <c r="E771" s="63" t="s">
        <v>1098</v>
      </c>
      <c r="F771" s="60"/>
      <c r="G771" s="60">
        <v>4.2859999999999996</v>
      </c>
      <c r="H771" s="60">
        <v>2.1999999999999999E-2</v>
      </c>
      <c r="I771" s="89">
        <v>4.2859999999999996</v>
      </c>
      <c r="J771" s="52">
        <f>2838.8+810.724</f>
        <v>3649.5240000000003</v>
      </c>
      <c r="K771" s="52"/>
      <c r="L771" s="83">
        <f t="shared" si="242"/>
        <v>3649.5240000000003</v>
      </c>
      <c r="M771" s="52">
        <f t="shared" si="243"/>
        <v>851.49883341110603</v>
      </c>
      <c r="N771" s="12" t="e">
        <f t="shared" si="239"/>
        <v>#REF!</v>
      </c>
      <c r="O771" s="12" t="e">
        <f t="shared" si="240"/>
        <v>#REF!</v>
      </c>
      <c r="P771" s="12" t="e">
        <f t="shared" si="241"/>
        <v>#REF!</v>
      </c>
    </row>
    <row r="772" spans="1:16" ht="18" x14ac:dyDescent="0.35">
      <c r="A772" s="49">
        <v>14</v>
      </c>
      <c r="B772" s="14">
        <v>52</v>
      </c>
      <c r="C772" s="12" t="s">
        <v>1744</v>
      </c>
      <c r="D772" s="61" t="s">
        <v>1099</v>
      </c>
      <c r="E772" s="63" t="s">
        <v>1100</v>
      </c>
      <c r="F772" s="60"/>
      <c r="G772" s="60">
        <v>8.0139999999999993</v>
      </c>
      <c r="H772" s="60">
        <v>2.7E-2</v>
      </c>
      <c r="I772" s="89">
        <v>8.0139999999999993</v>
      </c>
      <c r="J772" s="52">
        <v>7738.3</v>
      </c>
      <c r="K772" s="52"/>
      <c r="L772" s="83">
        <f t="shared" si="242"/>
        <v>7738.3</v>
      </c>
      <c r="M772" s="52">
        <f t="shared" si="243"/>
        <v>965.59770401796868</v>
      </c>
      <c r="N772" s="12" t="e">
        <f t="shared" si="239"/>
        <v>#REF!</v>
      </c>
      <c r="O772" s="12" t="e">
        <f t="shared" si="240"/>
        <v>#REF!</v>
      </c>
      <c r="P772" s="12" t="e">
        <f t="shared" si="241"/>
        <v>#REF!</v>
      </c>
    </row>
    <row r="773" spans="1:16" s="75" customFormat="1" ht="15.75" hidden="1" x14ac:dyDescent="0.25">
      <c r="A773" s="72">
        <v>15</v>
      </c>
      <c r="B773" s="72" t="s">
        <v>1126</v>
      </c>
      <c r="C773" s="73" t="s">
        <v>1161</v>
      </c>
      <c r="D773" s="74"/>
      <c r="E773" s="71" t="s">
        <v>1496</v>
      </c>
      <c r="F773" s="76"/>
      <c r="G773" s="71">
        <f t="shared" ref="G773:L773" si="244">G774+G775+G783+G810</f>
        <v>2386.5160000000001</v>
      </c>
      <c r="H773" s="71">
        <f t="shared" si="244"/>
        <v>37.557000000000002</v>
      </c>
      <c r="I773" s="71">
        <f t="shared" si="244"/>
        <v>2424.0729999999999</v>
      </c>
      <c r="J773" s="71">
        <f t="shared" si="244"/>
        <v>3763592.1238599997</v>
      </c>
      <c r="K773" s="71">
        <f t="shared" si="244"/>
        <v>0</v>
      </c>
      <c r="L773" s="71">
        <f t="shared" si="244"/>
        <v>3763592.1238599997</v>
      </c>
      <c r="M773" s="71">
        <f>L773/I773</f>
        <v>1552.5902577438881</v>
      </c>
      <c r="N773" s="71" t="e">
        <f>M773/$M$1429</f>
        <v>#REF!</v>
      </c>
      <c r="O773" s="71" t="e">
        <f>O774+O775+O783+O810</f>
        <v>#REF!</v>
      </c>
      <c r="P773" s="71" t="e">
        <f>P774+P775+P783+P810</f>
        <v>#REF!</v>
      </c>
    </row>
    <row r="774" spans="1:16" ht="15.75" hidden="1" x14ac:dyDescent="0.25">
      <c r="A774" s="14">
        <v>15</v>
      </c>
      <c r="B774" s="14" t="s">
        <v>1126</v>
      </c>
      <c r="C774" s="8" t="s">
        <v>1159</v>
      </c>
      <c r="D774" s="28" t="s">
        <v>2258</v>
      </c>
      <c r="E774" s="12" t="s">
        <v>1160</v>
      </c>
      <c r="F774" s="1"/>
      <c r="G774" s="1">
        <v>0</v>
      </c>
      <c r="H774" s="1">
        <v>0</v>
      </c>
      <c r="I774" s="12">
        <f>H774+G774</f>
        <v>0</v>
      </c>
      <c r="J774" s="12"/>
      <c r="K774" s="12"/>
      <c r="L774" s="12"/>
      <c r="M774" s="12"/>
      <c r="N774" s="12"/>
      <c r="O774" s="12"/>
      <c r="P774" s="12"/>
    </row>
    <row r="775" spans="1:16" ht="15.75" hidden="1" x14ac:dyDescent="0.25">
      <c r="A775" s="15">
        <v>15</v>
      </c>
      <c r="B775" s="15" t="s">
        <v>1126</v>
      </c>
      <c r="C775" s="10" t="s">
        <v>1127</v>
      </c>
      <c r="D775" s="29"/>
      <c r="E775" s="37" t="s">
        <v>1128</v>
      </c>
      <c r="F775" s="6"/>
      <c r="G775" s="37">
        <f t="shared" ref="G775:L775" si="245">SUM(G776:G782)</f>
        <v>1295.0989999999999</v>
      </c>
      <c r="H775" s="37">
        <f>SUM(H776:H782)</f>
        <v>32.179000000000002</v>
      </c>
      <c r="I775" s="37">
        <f t="shared" si="245"/>
        <v>1327.278</v>
      </c>
      <c r="J775" s="37">
        <f t="shared" si="245"/>
        <v>2759360.8872799999</v>
      </c>
      <c r="K775" s="37">
        <f t="shared" si="245"/>
        <v>2900.7350000000001</v>
      </c>
      <c r="L775" s="37">
        <f t="shared" si="245"/>
        <v>2762261.6222799998</v>
      </c>
      <c r="M775" s="37">
        <f t="shared" ref="M775:M833" si="246">L775/I775</f>
        <v>2081.1477492130507</v>
      </c>
      <c r="N775" s="37" t="e">
        <f>M775/$M$1429</f>
        <v>#REF!</v>
      </c>
      <c r="O775" s="37" t="e">
        <f>SUM(O776:O782)</f>
        <v>#REF!</v>
      </c>
      <c r="P775" s="37" t="e">
        <f>SUM(P776:P782)</f>
        <v>#REF!</v>
      </c>
    </row>
    <row r="776" spans="1:16" ht="15.75" hidden="1" x14ac:dyDescent="0.25">
      <c r="A776" s="14">
        <v>15</v>
      </c>
      <c r="B776" s="14" t="s">
        <v>1811</v>
      </c>
      <c r="C776" s="8" t="s">
        <v>1119</v>
      </c>
      <c r="D776" s="28" t="s">
        <v>2259</v>
      </c>
      <c r="E776" s="12" t="s">
        <v>1471</v>
      </c>
      <c r="F776" s="1"/>
      <c r="G776" s="1">
        <v>1010.783</v>
      </c>
      <c r="H776" s="1">
        <v>28.827000000000002</v>
      </c>
      <c r="I776" s="12">
        <f t="shared" ref="I776:I782" si="247">H776+G776</f>
        <v>1039.6100000000001</v>
      </c>
      <c r="J776" s="12">
        <v>2124665.9452800001</v>
      </c>
      <c r="K776" s="12"/>
      <c r="L776" s="12">
        <f t="shared" ref="L776:L782" si="248">J776+K776</f>
        <v>2124665.9452800001</v>
      </c>
      <c r="M776" s="12">
        <f t="shared" si="246"/>
        <v>2043.7144172141475</v>
      </c>
      <c r="N776" s="12" t="e">
        <f t="shared" ref="N776:N782" si="249">M776/$M$1431</f>
        <v>#REF!</v>
      </c>
      <c r="O776" s="12" t="e">
        <f t="shared" ref="O776:O782" si="250">ROUND(IF(N776&lt;110%,0,(M776-$M$1431*1.1)*0.8)*I776,1)</f>
        <v>#REF!</v>
      </c>
      <c r="P776" s="12" t="e">
        <f t="shared" ref="P776:P782" si="251">ROUND(IF(N776&gt;90%,0,(-M776+$M$1431*0.9)*0.8)*I776,1)</f>
        <v>#REF!</v>
      </c>
    </row>
    <row r="777" spans="1:16" ht="15.75" hidden="1" x14ac:dyDescent="0.25">
      <c r="A777" s="14">
        <v>15</v>
      </c>
      <c r="B777" s="14" t="s">
        <v>1810</v>
      </c>
      <c r="C777" s="8" t="s">
        <v>1119</v>
      </c>
      <c r="D777" s="28" t="s">
        <v>2260</v>
      </c>
      <c r="E777" s="12" t="s">
        <v>1472</v>
      </c>
      <c r="F777" s="1"/>
      <c r="G777" s="1">
        <v>56.985999999999997</v>
      </c>
      <c r="H777" s="1">
        <v>0.59599999999999997</v>
      </c>
      <c r="I777" s="12">
        <f t="shared" si="247"/>
        <v>57.581999999999994</v>
      </c>
      <c r="J777" s="12">
        <v>78648.063819999996</v>
      </c>
      <c r="K777" s="12"/>
      <c r="L777" s="12">
        <f t="shared" si="248"/>
        <v>78648.063819999996</v>
      </c>
      <c r="M777" s="12">
        <f t="shared" si="246"/>
        <v>1365.8446010906187</v>
      </c>
      <c r="N777" s="12" t="e">
        <f t="shared" si="249"/>
        <v>#REF!</v>
      </c>
      <c r="O777" s="12" t="e">
        <f t="shared" si="250"/>
        <v>#REF!</v>
      </c>
      <c r="P777" s="12" t="e">
        <f t="shared" si="251"/>
        <v>#REF!</v>
      </c>
    </row>
    <row r="778" spans="1:16" ht="15.75" hidden="1" x14ac:dyDescent="0.25">
      <c r="A778" s="14">
        <v>15</v>
      </c>
      <c r="B778" s="14" t="s">
        <v>1850</v>
      </c>
      <c r="C778" s="8" t="s">
        <v>1119</v>
      </c>
      <c r="D778" s="28" t="s">
        <v>2261</v>
      </c>
      <c r="E778" s="12" t="s">
        <v>1473</v>
      </c>
      <c r="F778" s="1"/>
      <c r="G778" s="1">
        <v>71.662999999999997</v>
      </c>
      <c r="H778" s="1">
        <v>0.28399999999999997</v>
      </c>
      <c r="I778" s="12">
        <f t="shared" si="247"/>
        <v>71.947000000000003</v>
      </c>
      <c r="J778" s="12">
        <v>118892.87426</v>
      </c>
      <c r="K778" s="12">
        <f>2900.735</f>
        <v>2900.7350000000001</v>
      </c>
      <c r="L778" s="12">
        <f t="shared" si="248"/>
        <v>121793.60926</v>
      </c>
      <c r="M778" s="12">
        <f t="shared" si="246"/>
        <v>1692.8240129539799</v>
      </c>
      <c r="N778" s="12" t="e">
        <f t="shared" si="249"/>
        <v>#REF!</v>
      </c>
      <c r="O778" s="12" t="e">
        <f t="shared" si="250"/>
        <v>#REF!</v>
      </c>
      <c r="P778" s="12" t="e">
        <f t="shared" si="251"/>
        <v>#REF!</v>
      </c>
    </row>
    <row r="779" spans="1:16" ht="15.75" hidden="1" x14ac:dyDescent="0.25">
      <c r="A779" s="14">
        <v>15</v>
      </c>
      <c r="B779" s="14" t="s">
        <v>1855</v>
      </c>
      <c r="C779" s="8" t="s">
        <v>1119</v>
      </c>
      <c r="D779" s="28" t="s">
        <v>2262</v>
      </c>
      <c r="E779" s="12" t="s">
        <v>814</v>
      </c>
      <c r="F779" s="1"/>
      <c r="G779" s="1">
        <v>72.542000000000002</v>
      </c>
      <c r="H779" s="1">
        <v>1.627</v>
      </c>
      <c r="I779" s="12">
        <f t="shared" si="247"/>
        <v>74.168999999999997</v>
      </c>
      <c r="J779" s="12">
        <v>211002.27393</v>
      </c>
      <c r="K779" s="12"/>
      <c r="L779" s="12">
        <f t="shared" si="248"/>
        <v>211002.27393</v>
      </c>
      <c r="M779" s="12">
        <f t="shared" si="246"/>
        <v>2844.8849779557499</v>
      </c>
      <c r="N779" s="12" t="e">
        <f t="shared" si="249"/>
        <v>#REF!</v>
      </c>
      <c r="O779" s="12" t="e">
        <f t="shared" si="250"/>
        <v>#REF!</v>
      </c>
      <c r="P779" s="12" t="e">
        <f t="shared" si="251"/>
        <v>#REF!</v>
      </c>
    </row>
    <row r="780" spans="1:16" ht="15.75" hidden="1" x14ac:dyDescent="0.25">
      <c r="A780" s="14">
        <v>15</v>
      </c>
      <c r="B780" s="14" t="s">
        <v>1818</v>
      </c>
      <c r="C780" s="8" t="s">
        <v>1119</v>
      </c>
      <c r="D780" s="28" t="s">
        <v>2263</v>
      </c>
      <c r="E780" s="12" t="s">
        <v>815</v>
      </c>
      <c r="F780" s="1"/>
      <c r="G780" s="1">
        <v>40.685000000000002</v>
      </c>
      <c r="H780" s="1">
        <v>0.115</v>
      </c>
      <c r="I780" s="12">
        <f t="shared" si="247"/>
        <v>40.800000000000004</v>
      </c>
      <c r="J780" s="12">
        <v>55363.214919999999</v>
      </c>
      <c r="K780" s="12"/>
      <c r="L780" s="12">
        <f t="shared" si="248"/>
        <v>55363.214919999999</v>
      </c>
      <c r="M780" s="12">
        <f t="shared" si="246"/>
        <v>1356.9415421568626</v>
      </c>
      <c r="N780" s="12" t="e">
        <f t="shared" si="249"/>
        <v>#REF!</v>
      </c>
      <c r="O780" s="12" t="e">
        <f t="shared" si="250"/>
        <v>#REF!</v>
      </c>
      <c r="P780" s="12" t="e">
        <f t="shared" si="251"/>
        <v>#REF!</v>
      </c>
    </row>
    <row r="781" spans="1:16" ht="15.75" hidden="1" x14ac:dyDescent="0.25">
      <c r="A781" s="14">
        <v>15</v>
      </c>
      <c r="B781" s="14" t="s">
        <v>1820</v>
      </c>
      <c r="C781" s="8" t="s">
        <v>1119</v>
      </c>
      <c r="D781" s="28" t="s">
        <v>2264</v>
      </c>
      <c r="E781" s="12" t="s">
        <v>1474</v>
      </c>
      <c r="F781" s="1"/>
      <c r="G781" s="1">
        <v>10.242000000000001</v>
      </c>
      <c r="H781" s="1">
        <v>7.9000000000000001E-2</v>
      </c>
      <c r="I781" s="12">
        <f t="shared" si="247"/>
        <v>10.321000000000002</v>
      </c>
      <c r="J781" s="12">
        <v>4891.9139299999997</v>
      </c>
      <c r="K781" s="12"/>
      <c r="L781" s="12">
        <f t="shared" si="248"/>
        <v>4891.9139299999997</v>
      </c>
      <c r="M781" s="12">
        <f t="shared" si="246"/>
        <v>473.97673965700989</v>
      </c>
      <c r="N781" s="12" t="e">
        <f t="shared" si="249"/>
        <v>#REF!</v>
      </c>
      <c r="O781" s="12" t="e">
        <f t="shared" si="250"/>
        <v>#REF!</v>
      </c>
      <c r="P781" s="12" t="e">
        <f t="shared" si="251"/>
        <v>#REF!</v>
      </c>
    </row>
    <row r="782" spans="1:16" ht="15.75" hidden="1" x14ac:dyDescent="0.25">
      <c r="A782" s="14">
        <v>15</v>
      </c>
      <c r="B782" s="14" t="s">
        <v>1822</v>
      </c>
      <c r="C782" s="8" t="s">
        <v>1119</v>
      </c>
      <c r="D782" s="28" t="s">
        <v>2265</v>
      </c>
      <c r="E782" s="12" t="s">
        <v>1475</v>
      </c>
      <c r="F782" s="1"/>
      <c r="G782" s="1">
        <v>32.198</v>
      </c>
      <c r="H782" s="1">
        <v>0.65100000000000002</v>
      </c>
      <c r="I782" s="12">
        <f t="shared" si="247"/>
        <v>32.849000000000004</v>
      </c>
      <c r="J782" s="12">
        <v>165896.60114000001</v>
      </c>
      <c r="K782" s="12"/>
      <c r="L782" s="12">
        <f t="shared" si="248"/>
        <v>165896.60114000001</v>
      </c>
      <c r="M782" s="12">
        <f t="shared" si="246"/>
        <v>5050.2785819964074</v>
      </c>
      <c r="N782" s="12" t="e">
        <f t="shared" si="249"/>
        <v>#REF!</v>
      </c>
      <c r="O782" s="12" t="e">
        <f t="shared" si="250"/>
        <v>#REF!</v>
      </c>
      <c r="P782" s="12" t="e">
        <f t="shared" si="251"/>
        <v>#REF!</v>
      </c>
    </row>
    <row r="783" spans="1:16" ht="15.75" hidden="1" x14ac:dyDescent="0.25">
      <c r="A783" s="15">
        <v>15</v>
      </c>
      <c r="B783" s="15" t="s">
        <v>1126</v>
      </c>
      <c r="C783" s="10" t="s">
        <v>1157</v>
      </c>
      <c r="D783" s="29"/>
      <c r="E783" s="37" t="s">
        <v>1158</v>
      </c>
      <c r="F783" s="6"/>
      <c r="G783" s="37">
        <f t="shared" ref="G783:L783" si="252">SUM(G784:G809)</f>
        <v>831.3159999999998</v>
      </c>
      <c r="H783" s="37">
        <f>SUM(H784:H809)</f>
        <v>4</v>
      </c>
      <c r="I783" s="37">
        <f t="shared" si="252"/>
        <v>835.31600000000003</v>
      </c>
      <c r="J783" s="37">
        <f t="shared" si="252"/>
        <v>750772.81579000002</v>
      </c>
      <c r="K783" s="37">
        <f t="shared" si="252"/>
        <v>-2900.7350000000001</v>
      </c>
      <c r="L783" s="37">
        <f t="shared" si="252"/>
        <v>747872.08078999992</v>
      </c>
      <c r="M783" s="37">
        <f t="shared" si="246"/>
        <v>895.31636026366061</v>
      </c>
      <c r="N783" s="37" t="e">
        <f>M783/$M$1429</f>
        <v>#REF!</v>
      </c>
      <c r="O783" s="37" t="e">
        <f>SUM(O784:O809)</f>
        <v>#REF!</v>
      </c>
      <c r="P783" s="37" t="e">
        <f>SUM(P784:P809)</f>
        <v>#REF!</v>
      </c>
    </row>
    <row r="784" spans="1:16" ht="15.75" hidden="1" x14ac:dyDescent="0.25">
      <c r="A784" s="14">
        <v>15</v>
      </c>
      <c r="B784" s="14" t="s">
        <v>1824</v>
      </c>
      <c r="C784" s="8" t="s">
        <v>1129</v>
      </c>
      <c r="D784" s="28" t="s">
        <v>2266</v>
      </c>
      <c r="E784" s="12" t="s">
        <v>1476</v>
      </c>
      <c r="F784" s="1"/>
      <c r="G784" s="1">
        <v>26.623000000000001</v>
      </c>
      <c r="H784" s="1">
        <v>0.11</v>
      </c>
      <c r="I784" s="12">
        <f t="shared" ref="I784:I809" si="253">H784+G784</f>
        <v>26.733000000000001</v>
      </c>
      <c r="J784" s="12">
        <v>21397.48618</v>
      </c>
      <c r="K784" s="12"/>
      <c r="L784" s="12">
        <f t="shared" ref="L784:L809" si="254">J784+K784</f>
        <v>21397.48618</v>
      </c>
      <c r="M784" s="12">
        <f t="shared" si="246"/>
        <v>800.41470018329403</v>
      </c>
      <c r="N784" s="12" t="e">
        <f t="shared" ref="N784:N809" si="255">M784/$M$1432</f>
        <v>#REF!</v>
      </c>
      <c r="O784" s="12" t="e">
        <f t="shared" ref="O784:O809" si="256">ROUND(IF(N784&lt;110%,0,(M784-$M$1432*1.1)*0.8)*I784,1)</f>
        <v>#REF!</v>
      </c>
      <c r="P784" s="12" t="e">
        <f t="shared" ref="P784:P809" si="257">ROUND(IF(N784&gt;90%,0,(-M784+$M$1432*0.9)*0.8)*I784,1)</f>
        <v>#REF!</v>
      </c>
    </row>
    <row r="785" spans="1:16" ht="15.75" hidden="1" x14ac:dyDescent="0.25">
      <c r="A785" s="14">
        <v>15</v>
      </c>
      <c r="B785" s="14" t="s">
        <v>1826</v>
      </c>
      <c r="C785" s="8" t="s">
        <v>1129</v>
      </c>
      <c r="D785" s="28" t="s">
        <v>2267</v>
      </c>
      <c r="E785" s="12" t="s">
        <v>1477</v>
      </c>
      <c r="F785" s="1"/>
      <c r="G785" s="1">
        <v>45.003</v>
      </c>
      <c r="H785" s="1">
        <v>0.1</v>
      </c>
      <c r="I785" s="12">
        <f t="shared" si="253"/>
        <v>45.103000000000002</v>
      </c>
      <c r="J785" s="12">
        <v>30886.475310000002</v>
      </c>
      <c r="K785" s="12"/>
      <c r="L785" s="12">
        <f t="shared" si="254"/>
        <v>30886.475310000002</v>
      </c>
      <c r="M785" s="12">
        <f t="shared" si="246"/>
        <v>684.79868988759063</v>
      </c>
      <c r="N785" s="12" t="e">
        <f t="shared" si="255"/>
        <v>#REF!</v>
      </c>
      <c r="O785" s="12" t="e">
        <f t="shared" si="256"/>
        <v>#REF!</v>
      </c>
      <c r="P785" s="12" t="e">
        <f t="shared" si="257"/>
        <v>#REF!</v>
      </c>
    </row>
    <row r="786" spans="1:16" ht="15.75" hidden="1" x14ac:dyDescent="0.25">
      <c r="A786" s="14">
        <v>15</v>
      </c>
      <c r="B786" s="14">
        <v>10</v>
      </c>
      <c r="C786" s="8" t="s">
        <v>1129</v>
      </c>
      <c r="D786" s="28" t="s">
        <v>2268</v>
      </c>
      <c r="E786" s="12" t="s">
        <v>1478</v>
      </c>
      <c r="F786" s="1"/>
      <c r="G786" s="1">
        <v>8.7449999999999992</v>
      </c>
      <c r="H786" s="1">
        <v>5.3999999999999999E-2</v>
      </c>
      <c r="I786" s="12">
        <f t="shared" si="253"/>
        <v>8.7989999999999995</v>
      </c>
      <c r="J786" s="12">
        <v>5698.5156900000002</v>
      </c>
      <c r="K786" s="12"/>
      <c r="L786" s="12">
        <f t="shared" si="254"/>
        <v>5698.5156900000002</v>
      </c>
      <c r="M786" s="12">
        <f t="shared" si="246"/>
        <v>647.63219570405738</v>
      </c>
      <c r="N786" s="12" t="e">
        <f t="shared" si="255"/>
        <v>#REF!</v>
      </c>
      <c r="O786" s="12" t="e">
        <f t="shared" si="256"/>
        <v>#REF!</v>
      </c>
      <c r="P786" s="12" t="e">
        <f t="shared" si="257"/>
        <v>#REF!</v>
      </c>
    </row>
    <row r="787" spans="1:16" ht="15.75" hidden="1" x14ac:dyDescent="0.25">
      <c r="A787" s="14">
        <v>15</v>
      </c>
      <c r="B787" s="14">
        <v>11</v>
      </c>
      <c r="C787" s="8" t="s">
        <v>1129</v>
      </c>
      <c r="D787" s="28" t="s">
        <v>2269</v>
      </c>
      <c r="E787" s="12" t="s">
        <v>1479</v>
      </c>
      <c r="F787" s="1"/>
      <c r="G787" s="1">
        <v>15.763999999999999</v>
      </c>
      <c r="H787" s="1">
        <v>8.5000000000000006E-2</v>
      </c>
      <c r="I787" s="12">
        <f t="shared" si="253"/>
        <v>15.849</v>
      </c>
      <c r="J787" s="12">
        <f>25266.60608-11109.44427</f>
        <v>14157.161810000001</v>
      </c>
      <c r="K787" s="12"/>
      <c r="L787" s="12">
        <f t="shared" si="254"/>
        <v>14157.161810000001</v>
      </c>
      <c r="M787" s="12">
        <f t="shared" si="246"/>
        <v>893.25268534292388</v>
      </c>
      <c r="N787" s="12" t="e">
        <f t="shared" si="255"/>
        <v>#REF!</v>
      </c>
      <c r="O787" s="12" t="e">
        <f t="shared" si="256"/>
        <v>#REF!</v>
      </c>
      <c r="P787" s="12" t="e">
        <f t="shared" si="257"/>
        <v>#REF!</v>
      </c>
    </row>
    <row r="788" spans="1:16" ht="15.75" hidden="1" x14ac:dyDescent="0.25">
      <c r="A788" s="14">
        <v>15</v>
      </c>
      <c r="B788" s="14">
        <v>12</v>
      </c>
      <c r="C788" s="8" t="s">
        <v>1129</v>
      </c>
      <c r="D788" s="28" t="s">
        <v>2270</v>
      </c>
      <c r="E788" s="12" t="s">
        <v>1480</v>
      </c>
      <c r="F788" s="1"/>
      <c r="G788" s="1">
        <v>15.045</v>
      </c>
      <c r="H788" s="1">
        <v>9.9000000000000005E-2</v>
      </c>
      <c r="I788" s="12">
        <f t="shared" si="253"/>
        <v>15.144</v>
      </c>
      <c r="J788" s="12">
        <f>48054.22647-7280.66265-25614.6814-1168.22553-4472.2964</f>
        <v>9518.3604900000028</v>
      </c>
      <c r="K788" s="12"/>
      <c r="L788" s="12">
        <f t="shared" si="254"/>
        <v>9518.3604900000028</v>
      </c>
      <c r="M788" s="12">
        <f t="shared" si="246"/>
        <v>628.52354001584808</v>
      </c>
      <c r="N788" s="12" t="e">
        <f t="shared" si="255"/>
        <v>#REF!</v>
      </c>
      <c r="O788" s="12" t="e">
        <f t="shared" si="256"/>
        <v>#REF!</v>
      </c>
      <c r="P788" s="12" t="e">
        <f t="shared" si="257"/>
        <v>#REF!</v>
      </c>
    </row>
    <row r="789" spans="1:16" ht="15.75" hidden="1" x14ac:dyDescent="0.25">
      <c r="A789" s="14">
        <v>15</v>
      </c>
      <c r="B789" s="14">
        <v>13</v>
      </c>
      <c r="C789" s="8" t="s">
        <v>1129</v>
      </c>
      <c r="D789" s="28" t="s">
        <v>2271</v>
      </c>
      <c r="E789" s="12" t="s">
        <v>1481</v>
      </c>
      <c r="F789" s="1"/>
      <c r="G789" s="1">
        <v>66.435000000000002</v>
      </c>
      <c r="H789" s="1">
        <v>0.80400000000000005</v>
      </c>
      <c r="I789" s="12">
        <f t="shared" si="253"/>
        <v>67.239000000000004</v>
      </c>
      <c r="J789" s="12">
        <f>77330.15442-3198.60436-2577.43392</f>
        <v>71554.116140000013</v>
      </c>
      <c r="K789" s="12"/>
      <c r="L789" s="12">
        <f t="shared" si="254"/>
        <v>71554.116140000013</v>
      </c>
      <c r="M789" s="12">
        <f t="shared" si="246"/>
        <v>1064.1757929178009</v>
      </c>
      <c r="N789" s="12" t="e">
        <f t="shared" si="255"/>
        <v>#REF!</v>
      </c>
      <c r="O789" s="12" t="e">
        <f t="shared" si="256"/>
        <v>#REF!</v>
      </c>
      <c r="P789" s="12" t="e">
        <f t="shared" si="257"/>
        <v>#REF!</v>
      </c>
    </row>
    <row r="790" spans="1:16" ht="15.75" hidden="1" x14ac:dyDescent="0.25">
      <c r="A790" s="14">
        <v>15</v>
      </c>
      <c r="B790" s="14">
        <v>14</v>
      </c>
      <c r="C790" s="8" t="s">
        <v>1129</v>
      </c>
      <c r="D790" s="28" t="s">
        <v>2272</v>
      </c>
      <c r="E790" s="12" t="s">
        <v>1745</v>
      </c>
      <c r="F790" s="1"/>
      <c r="G790" s="1">
        <v>68.528999999999996</v>
      </c>
      <c r="H790" s="1">
        <v>0.14099999999999999</v>
      </c>
      <c r="I790" s="12">
        <f t="shared" si="253"/>
        <v>68.67</v>
      </c>
      <c r="J790" s="12">
        <v>39009.029519999996</v>
      </c>
      <c r="K790" s="12"/>
      <c r="L790" s="12">
        <f t="shared" si="254"/>
        <v>39009.029519999996</v>
      </c>
      <c r="M790" s="12">
        <f t="shared" si="246"/>
        <v>568.06508693752721</v>
      </c>
      <c r="N790" s="12" t="e">
        <f t="shared" si="255"/>
        <v>#REF!</v>
      </c>
      <c r="O790" s="12" t="e">
        <f t="shared" si="256"/>
        <v>#REF!</v>
      </c>
      <c r="P790" s="12" t="e">
        <f t="shared" si="257"/>
        <v>#REF!</v>
      </c>
    </row>
    <row r="791" spans="1:16" ht="15.75" hidden="1" x14ac:dyDescent="0.25">
      <c r="A791" s="14">
        <v>15</v>
      </c>
      <c r="B791" s="14">
        <v>15</v>
      </c>
      <c r="C791" s="8" t="s">
        <v>1129</v>
      </c>
      <c r="D791" s="28" t="s">
        <v>2273</v>
      </c>
      <c r="E791" s="12" t="s">
        <v>1482</v>
      </c>
      <c r="F791" s="1"/>
      <c r="G791" s="1">
        <v>11.827</v>
      </c>
      <c r="H791" s="1">
        <v>8.9999999999999993E-3</v>
      </c>
      <c r="I791" s="12">
        <f t="shared" si="253"/>
        <v>11.836</v>
      </c>
      <c r="J791" s="12">
        <f>13750.08963-612.36195-2047.17116</f>
        <v>11090.55652</v>
      </c>
      <c r="K791" s="12"/>
      <c r="L791" s="12">
        <f t="shared" si="254"/>
        <v>11090.55652</v>
      </c>
      <c r="M791" s="12">
        <f t="shared" si="246"/>
        <v>937.01896924636696</v>
      </c>
      <c r="N791" s="12" t="e">
        <f t="shared" si="255"/>
        <v>#REF!</v>
      </c>
      <c r="O791" s="12" t="e">
        <f t="shared" si="256"/>
        <v>#REF!</v>
      </c>
      <c r="P791" s="12" t="e">
        <f t="shared" si="257"/>
        <v>#REF!</v>
      </c>
    </row>
    <row r="792" spans="1:16" ht="15.75" hidden="1" x14ac:dyDescent="0.25">
      <c r="A792" s="14">
        <v>15</v>
      </c>
      <c r="B792" s="14">
        <v>16</v>
      </c>
      <c r="C792" s="8" t="s">
        <v>1129</v>
      </c>
      <c r="D792" s="28" t="s">
        <v>2274</v>
      </c>
      <c r="E792" s="12" t="s">
        <v>1483</v>
      </c>
      <c r="F792" s="1"/>
      <c r="G792" s="1">
        <v>16.239999999999998</v>
      </c>
      <c r="H792" s="1">
        <v>4.2000000000000003E-2</v>
      </c>
      <c r="I792" s="12">
        <f t="shared" si="253"/>
        <v>16.282</v>
      </c>
      <c r="J792" s="12">
        <f>16355.76766-2097.19703</f>
        <v>14258.57063</v>
      </c>
      <c r="K792" s="12"/>
      <c r="L792" s="12">
        <f t="shared" si="254"/>
        <v>14258.57063</v>
      </c>
      <c r="M792" s="12">
        <f t="shared" si="246"/>
        <v>875.72599373541334</v>
      </c>
      <c r="N792" s="12" t="e">
        <f t="shared" si="255"/>
        <v>#REF!</v>
      </c>
      <c r="O792" s="12" t="e">
        <f t="shared" si="256"/>
        <v>#REF!</v>
      </c>
      <c r="P792" s="12" t="e">
        <f t="shared" si="257"/>
        <v>#REF!</v>
      </c>
    </row>
    <row r="793" spans="1:16" ht="15.75" hidden="1" x14ac:dyDescent="0.25">
      <c r="A793" s="14">
        <v>15</v>
      </c>
      <c r="B793" s="14">
        <v>17</v>
      </c>
      <c r="C793" s="8" t="s">
        <v>1129</v>
      </c>
      <c r="D793" s="28" t="s">
        <v>2275</v>
      </c>
      <c r="E793" s="12" t="s">
        <v>1484</v>
      </c>
      <c r="F793" s="1"/>
      <c r="G793" s="1">
        <v>51.438000000000002</v>
      </c>
      <c r="H793" s="1">
        <v>5.6000000000000001E-2</v>
      </c>
      <c r="I793" s="12">
        <f t="shared" si="253"/>
        <v>51.494</v>
      </c>
      <c r="J793" s="12">
        <v>26116.719079999999</v>
      </c>
      <c r="K793" s="12">
        <f>-2900.735</f>
        <v>-2900.7350000000001</v>
      </c>
      <c r="L793" s="12">
        <f t="shared" si="254"/>
        <v>23215.984079999998</v>
      </c>
      <c r="M793" s="12">
        <f t="shared" si="246"/>
        <v>450.84833339806579</v>
      </c>
      <c r="N793" s="12" t="e">
        <f t="shared" si="255"/>
        <v>#REF!</v>
      </c>
      <c r="O793" s="12" t="e">
        <f t="shared" si="256"/>
        <v>#REF!</v>
      </c>
      <c r="P793" s="12" t="e">
        <f t="shared" si="257"/>
        <v>#REF!</v>
      </c>
    </row>
    <row r="794" spans="1:16" ht="15.75" hidden="1" x14ac:dyDescent="0.25">
      <c r="A794" s="14">
        <v>15</v>
      </c>
      <c r="B794" s="14">
        <v>18</v>
      </c>
      <c r="C794" s="8" t="s">
        <v>1129</v>
      </c>
      <c r="D794" s="28" t="s">
        <v>2276</v>
      </c>
      <c r="E794" s="12" t="s">
        <v>1485</v>
      </c>
      <c r="F794" s="1"/>
      <c r="G794" s="1">
        <v>40.212000000000003</v>
      </c>
      <c r="H794" s="1">
        <v>0.10100000000000001</v>
      </c>
      <c r="I794" s="12">
        <f t="shared" si="253"/>
        <v>40.313000000000002</v>
      </c>
      <c r="J794" s="12">
        <f>36043.41238-6791.8892</f>
        <v>29251.523180000004</v>
      </c>
      <c r="K794" s="12"/>
      <c r="L794" s="12">
        <f t="shared" si="254"/>
        <v>29251.523180000004</v>
      </c>
      <c r="M794" s="12">
        <f t="shared" si="246"/>
        <v>725.61017984273064</v>
      </c>
      <c r="N794" s="12" t="e">
        <f t="shared" si="255"/>
        <v>#REF!</v>
      </c>
      <c r="O794" s="12" t="e">
        <f t="shared" si="256"/>
        <v>#REF!</v>
      </c>
      <c r="P794" s="12" t="e">
        <f t="shared" si="257"/>
        <v>#REF!</v>
      </c>
    </row>
    <row r="795" spans="1:16" ht="15.75" hidden="1" x14ac:dyDescent="0.25">
      <c r="A795" s="14">
        <v>15</v>
      </c>
      <c r="B795" s="14">
        <v>19</v>
      </c>
      <c r="C795" s="8" t="s">
        <v>1129</v>
      </c>
      <c r="D795" s="28" t="s">
        <v>2277</v>
      </c>
      <c r="E795" s="12" t="s">
        <v>1486</v>
      </c>
      <c r="F795" s="1"/>
      <c r="G795" s="1">
        <v>29.125</v>
      </c>
      <c r="H795" s="1">
        <v>8.8999999999999996E-2</v>
      </c>
      <c r="I795" s="12">
        <f t="shared" si="253"/>
        <v>29.213999999999999</v>
      </c>
      <c r="J795" s="12">
        <v>17355.403709999999</v>
      </c>
      <c r="K795" s="12"/>
      <c r="L795" s="12">
        <f t="shared" si="254"/>
        <v>17355.403709999999</v>
      </c>
      <c r="M795" s="12">
        <f t="shared" si="246"/>
        <v>594.0783086876155</v>
      </c>
      <c r="N795" s="12" t="e">
        <f t="shared" si="255"/>
        <v>#REF!</v>
      </c>
      <c r="O795" s="12" t="e">
        <f t="shared" si="256"/>
        <v>#REF!</v>
      </c>
      <c r="P795" s="12" t="e">
        <f t="shared" si="257"/>
        <v>#REF!</v>
      </c>
    </row>
    <row r="796" spans="1:16" ht="15.75" hidden="1" x14ac:dyDescent="0.25">
      <c r="A796" s="14">
        <v>15</v>
      </c>
      <c r="B796" s="14">
        <v>20</v>
      </c>
      <c r="C796" s="8" t="s">
        <v>1129</v>
      </c>
      <c r="D796" s="28" t="s">
        <v>2278</v>
      </c>
      <c r="E796" s="12" t="s">
        <v>816</v>
      </c>
      <c r="F796" s="1"/>
      <c r="G796" s="1">
        <v>60.16</v>
      </c>
      <c r="H796" s="1">
        <v>0.80600000000000005</v>
      </c>
      <c r="I796" s="12">
        <f t="shared" si="253"/>
        <v>60.965999999999994</v>
      </c>
      <c r="J796" s="12">
        <v>174080.35290999999</v>
      </c>
      <c r="K796" s="12"/>
      <c r="L796" s="12">
        <f t="shared" si="254"/>
        <v>174080.35290999999</v>
      </c>
      <c r="M796" s="12">
        <f t="shared" si="246"/>
        <v>2855.3677936882855</v>
      </c>
      <c r="N796" s="12" t="e">
        <f t="shared" si="255"/>
        <v>#REF!</v>
      </c>
      <c r="O796" s="12" t="e">
        <f t="shared" si="256"/>
        <v>#REF!</v>
      </c>
      <c r="P796" s="12" t="e">
        <f t="shared" si="257"/>
        <v>#REF!</v>
      </c>
    </row>
    <row r="797" spans="1:16" ht="15.75" hidden="1" x14ac:dyDescent="0.25">
      <c r="A797" s="14">
        <v>15</v>
      </c>
      <c r="B797" s="14">
        <v>21</v>
      </c>
      <c r="C797" s="8" t="s">
        <v>1129</v>
      </c>
      <c r="D797" s="28" t="s">
        <v>2279</v>
      </c>
      <c r="E797" s="12" t="s">
        <v>817</v>
      </c>
      <c r="F797" s="1"/>
      <c r="G797" s="1">
        <v>0</v>
      </c>
      <c r="H797" s="1">
        <v>2.1999999999999999E-2</v>
      </c>
      <c r="I797" s="12">
        <f t="shared" si="253"/>
        <v>2.1999999999999999E-2</v>
      </c>
      <c r="J797" s="12">
        <f>15125.37262-15125.37262</f>
        <v>0</v>
      </c>
      <c r="K797" s="12"/>
      <c r="L797" s="12">
        <f t="shared" si="254"/>
        <v>0</v>
      </c>
      <c r="M797" s="12"/>
      <c r="N797" s="12"/>
      <c r="O797" s="12"/>
      <c r="P797" s="12"/>
    </row>
    <row r="798" spans="1:16" ht="15.75" hidden="1" x14ac:dyDescent="0.25">
      <c r="A798" s="14">
        <v>15</v>
      </c>
      <c r="B798" s="14">
        <v>22</v>
      </c>
      <c r="C798" s="8" t="s">
        <v>1129</v>
      </c>
      <c r="D798" s="28" t="s">
        <v>2280</v>
      </c>
      <c r="E798" s="12" t="s">
        <v>818</v>
      </c>
      <c r="F798" s="1"/>
      <c r="G798" s="1">
        <v>20.056000000000001</v>
      </c>
      <c r="H798" s="1">
        <v>1.7999999999999999E-2</v>
      </c>
      <c r="I798" s="12">
        <f t="shared" si="253"/>
        <v>20.074000000000002</v>
      </c>
      <c r="J798" s="12">
        <v>17495.205669999999</v>
      </c>
      <c r="K798" s="12"/>
      <c r="L798" s="12">
        <f t="shared" si="254"/>
        <v>17495.205669999999</v>
      </c>
      <c r="M798" s="12">
        <f t="shared" si="246"/>
        <v>871.5356017734382</v>
      </c>
      <c r="N798" s="12" t="e">
        <f t="shared" si="255"/>
        <v>#REF!</v>
      </c>
      <c r="O798" s="12" t="e">
        <f t="shared" si="256"/>
        <v>#REF!</v>
      </c>
      <c r="P798" s="12" t="e">
        <f t="shared" si="257"/>
        <v>#REF!</v>
      </c>
    </row>
    <row r="799" spans="1:16" ht="15.75" hidden="1" x14ac:dyDescent="0.25">
      <c r="A799" s="14">
        <v>15</v>
      </c>
      <c r="B799" s="14">
        <v>23</v>
      </c>
      <c r="C799" s="8" t="s">
        <v>1129</v>
      </c>
      <c r="D799" s="28" t="s">
        <v>2281</v>
      </c>
      <c r="E799" s="12" t="s">
        <v>1487</v>
      </c>
      <c r="F799" s="1"/>
      <c r="G799" s="1">
        <v>30.405999999999999</v>
      </c>
      <c r="H799" s="1">
        <v>4.3999999999999997E-2</v>
      </c>
      <c r="I799" s="12">
        <f t="shared" si="253"/>
        <v>30.45</v>
      </c>
      <c r="J799" s="12">
        <v>22136.791730000001</v>
      </c>
      <c r="K799" s="12"/>
      <c r="L799" s="12">
        <f t="shared" si="254"/>
        <v>22136.791730000001</v>
      </c>
      <c r="M799" s="12">
        <f t="shared" si="246"/>
        <v>726.9882341543514</v>
      </c>
      <c r="N799" s="12" t="e">
        <f t="shared" si="255"/>
        <v>#REF!</v>
      </c>
      <c r="O799" s="12" t="e">
        <f t="shared" si="256"/>
        <v>#REF!</v>
      </c>
      <c r="P799" s="12" t="e">
        <f t="shared" si="257"/>
        <v>#REF!</v>
      </c>
    </row>
    <row r="800" spans="1:16" ht="15.75" hidden="1" x14ac:dyDescent="0.25">
      <c r="A800" s="14">
        <v>15</v>
      </c>
      <c r="B800" s="14">
        <v>24</v>
      </c>
      <c r="C800" s="8" t="s">
        <v>1129</v>
      </c>
      <c r="D800" s="28" t="s">
        <v>2282</v>
      </c>
      <c r="E800" s="12" t="s">
        <v>1441</v>
      </c>
      <c r="F800" s="1"/>
      <c r="G800" s="1">
        <v>15.93</v>
      </c>
      <c r="H800" s="1">
        <v>3.2000000000000001E-2</v>
      </c>
      <c r="I800" s="12">
        <f t="shared" si="253"/>
        <v>15.962</v>
      </c>
      <c r="J800" s="12">
        <v>12361.79406</v>
      </c>
      <c r="K800" s="12"/>
      <c r="L800" s="12">
        <f t="shared" si="254"/>
        <v>12361.79406</v>
      </c>
      <c r="M800" s="12">
        <f t="shared" si="246"/>
        <v>774.45145094599673</v>
      </c>
      <c r="N800" s="12" t="e">
        <f t="shared" si="255"/>
        <v>#REF!</v>
      </c>
      <c r="O800" s="12" t="e">
        <f t="shared" si="256"/>
        <v>#REF!</v>
      </c>
      <c r="P800" s="12" t="e">
        <f t="shared" si="257"/>
        <v>#REF!</v>
      </c>
    </row>
    <row r="801" spans="1:16" ht="15.75" hidden="1" x14ac:dyDescent="0.25">
      <c r="A801" s="14">
        <v>15</v>
      </c>
      <c r="B801" s="14">
        <v>25</v>
      </c>
      <c r="C801" s="8" t="s">
        <v>1129</v>
      </c>
      <c r="D801" s="28" t="s">
        <v>2283</v>
      </c>
      <c r="E801" s="12" t="s">
        <v>1488</v>
      </c>
      <c r="F801" s="1"/>
      <c r="G801" s="1">
        <v>47.726999999999997</v>
      </c>
      <c r="H801" s="1">
        <v>0.92400000000000004</v>
      </c>
      <c r="I801" s="12">
        <f t="shared" si="253"/>
        <v>48.650999999999996</v>
      </c>
      <c r="J801" s="12">
        <f>106467.10904-26965.33941-5257.09027-622.13523-25630.08212</f>
        <v>47992.462009999996</v>
      </c>
      <c r="K801" s="12"/>
      <c r="L801" s="12">
        <f t="shared" si="254"/>
        <v>47992.462009999996</v>
      </c>
      <c r="M801" s="12">
        <f t="shared" si="246"/>
        <v>986.46403999917777</v>
      </c>
      <c r="N801" s="12" t="e">
        <f t="shared" si="255"/>
        <v>#REF!</v>
      </c>
      <c r="O801" s="12" t="e">
        <f t="shared" si="256"/>
        <v>#REF!</v>
      </c>
      <c r="P801" s="12" t="e">
        <f t="shared" si="257"/>
        <v>#REF!</v>
      </c>
    </row>
    <row r="802" spans="1:16" ht="15.75" hidden="1" x14ac:dyDescent="0.25">
      <c r="A802" s="14">
        <v>15</v>
      </c>
      <c r="B802" s="14">
        <v>26</v>
      </c>
      <c r="C802" s="8" t="s">
        <v>1129</v>
      </c>
      <c r="D802" s="28" t="s">
        <v>2284</v>
      </c>
      <c r="E802" s="12" t="s">
        <v>1489</v>
      </c>
      <c r="F802" s="1"/>
      <c r="G802" s="1">
        <v>37.134999999999998</v>
      </c>
      <c r="H802" s="1">
        <v>2.5999999999999999E-2</v>
      </c>
      <c r="I802" s="12">
        <f t="shared" si="253"/>
        <v>37.161000000000001</v>
      </c>
      <c r="J802" s="12">
        <v>28616.566200000001</v>
      </c>
      <c r="K802" s="12"/>
      <c r="L802" s="12">
        <f t="shared" si="254"/>
        <v>28616.566200000001</v>
      </c>
      <c r="M802" s="12">
        <f t="shared" si="246"/>
        <v>770.06986356664243</v>
      </c>
      <c r="N802" s="12" t="e">
        <f t="shared" si="255"/>
        <v>#REF!</v>
      </c>
      <c r="O802" s="12" t="e">
        <f t="shared" si="256"/>
        <v>#REF!</v>
      </c>
      <c r="P802" s="12" t="e">
        <f t="shared" si="257"/>
        <v>#REF!</v>
      </c>
    </row>
    <row r="803" spans="1:16" ht="15.75" hidden="1" x14ac:dyDescent="0.25">
      <c r="A803" s="14">
        <v>15</v>
      </c>
      <c r="B803" s="14">
        <v>27</v>
      </c>
      <c r="C803" s="8" t="s">
        <v>1129</v>
      </c>
      <c r="D803" s="28" t="s">
        <v>2285</v>
      </c>
      <c r="E803" s="12" t="s">
        <v>1490</v>
      </c>
      <c r="F803" s="1"/>
      <c r="G803" s="1">
        <v>58.158999999999999</v>
      </c>
      <c r="H803" s="1">
        <v>0.14099999999999999</v>
      </c>
      <c r="I803" s="12">
        <f t="shared" si="253"/>
        <v>58.3</v>
      </c>
      <c r="J803" s="12">
        <v>40645.875319999999</v>
      </c>
      <c r="K803" s="12"/>
      <c r="L803" s="12">
        <f t="shared" si="254"/>
        <v>40645.875319999999</v>
      </c>
      <c r="M803" s="12">
        <f t="shared" si="246"/>
        <v>697.1848253859348</v>
      </c>
      <c r="N803" s="12" t="e">
        <f t="shared" si="255"/>
        <v>#REF!</v>
      </c>
      <c r="O803" s="12" t="e">
        <f t="shared" si="256"/>
        <v>#REF!</v>
      </c>
      <c r="P803" s="12" t="e">
        <f t="shared" si="257"/>
        <v>#REF!</v>
      </c>
    </row>
    <row r="804" spans="1:16" ht="15.75" hidden="1" x14ac:dyDescent="0.25">
      <c r="A804" s="14">
        <v>15</v>
      </c>
      <c r="B804" s="14">
        <v>28</v>
      </c>
      <c r="C804" s="8" t="s">
        <v>1129</v>
      </c>
      <c r="D804" s="28" t="s">
        <v>2286</v>
      </c>
      <c r="E804" s="12" t="s">
        <v>1491</v>
      </c>
      <c r="F804" s="1"/>
      <c r="G804" s="1">
        <v>18.904</v>
      </c>
      <c r="H804" s="1">
        <v>6.3E-2</v>
      </c>
      <c r="I804" s="12">
        <f t="shared" si="253"/>
        <v>18.966999999999999</v>
      </c>
      <c r="J804" s="12">
        <v>14058.32238</v>
      </c>
      <c r="K804" s="12"/>
      <c r="L804" s="12">
        <f t="shared" si="254"/>
        <v>14058.32238</v>
      </c>
      <c r="M804" s="12">
        <f t="shared" si="246"/>
        <v>741.1990499288238</v>
      </c>
      <c r="N804" s="12" t="e">
        <f t="shared" si="255"/>
        <v>#REF!</v>
      </c>
      <c r="O804" s="12" t="e">
        <f t="shared" si="256"/>
        <v>#REF!</v>
      </c>
      <c r="P804" s="12" t="e">
        <f t="shared" si="257"/>
        <v>#REF!</v>
      </c>
    </row>
    <row r="805" spans="1:16" ht="15.75" hidden="1" x14ac:dyDescent="0.25">
      <c r="A805" s="14">
        <v>15</v>
      </c>
      <c r="B805" s="14">
        <v>29</v>
      </c>
      <c r="C805" s="8" t="s">
        <v>1129</v>
      </c>
      <c r="D805" s="28" t="s">
        <v>2287</v>
      </c>
      <c r="E805" s="12" t="s">
        <v>1492</v>
      </c>
      <c r="F805" s="1"/>
      <c r="G805" s="1">
        <v>44.968000000000004</v>
      </c>
      <c r="H805" s="1">
        <v>7.2999999999999995E-2</v>
      </c>
      <c r="I805" s="12">
        <f t="shared" si="253"/>
        <v>45.041000000000004</v>
      </c>
      <c r="J805" s="12">
        <v>36642.268400000001</v>
      </c>
      <c r="K805" s="12"/>
      <c r="L805" s="12">
        <f t="shared" si="254"/>
        <v>36642.268400000001</v>
      </c>
      <c r="M805" s="12">
        <f t="shared" si="246"/>
        <v>813.53141360094128</v>
      </c>
      <c r="N805" s="12" t="e">
        <f t="shared" si="255"/>
        <v>#REF!</v>
      </c>
      <c r="O805" s="12" t="e">
        <f t="shared" si="256"/>
        <v>#REF!</v>
      </c>
      <c r="P805" s="12" t="e">
        <f t="shared" si="257"/>
        <v>#REF!</v>
      </c>
    </row>
    <row r="806" spans="1:16" ht="15.75" hidden="1" x14ac:dyDescent="0.25">
      <c r="A806" s="14">
        <v>15</v>
      </c>
      <c r="B806" s="14">
        <v>30</v>
      </c>
      <c r="C806" s="8" t="s">
        <v>1129</v>
      </c>
      <c r="D806" s="28" t="s">
        <v>2288</v>
      </c>
      <c r="E806" s="12" t="s">
        <v>1493</v>
      </c>
      <c r="F806" s="1"/>
      <c r="G806" s="1">
        <v>41.323</v>
      </c>
      <c r="H806" s="1">
        <v>7.6999999999999999E-2</v>
      </c>
      <c r="I806" s="12">
        <f t="shared" si="253"/>
        <v>41.4</v>
      </c>
      <c r="J806" s="12">
        <v>27847.547790000001</v>
      </c>
      <c r="K806" s="12"/>
      <c r="L806" s="12">
        <f t="shared" si="254"/>
        <v>27847.547790000001</v>
      </c>
      <c r="M806" s="12">
        <f t="shared" si="246"/>
        <v>672.64608188405805</v>
      </c>
      <c r="N806" s="12" t="e">
        <f t="shared" si="255"/>
        <v>#REF!</v>
      </c>
      <c r="O806" s="12" t="e">
        <f t="shared" si="256"/>
        <v>#REF!</v>
      </c>
      <c r="P806" s="12" t="e">
        <f t="shared" si="257"/>
        <v>#REF!</v>
      </c>
    </row>
    <row r="807" spans="1:16" ht="15.75" hidden="1" x14ac:dyDescent="0.25">
      <c r="A807" s="14">
        <v>15</v>
      </c>
      <c r="B807" s="14">
        <v>31</v>
      </c>
      <c r="C807" s="8" t="s">
        <v>1129</v>
      </c>
      <c r="D807" s="28" t="s">
        <v>2289</v>
      </c>
      <c r="E807" s="12" t="s">
        <v>1494</v>
      </c>
      <c r="F807" s="1"/>
      <c r="G807" s="1">
        <v>33.304000000000002</v>
      </c>
      <c r="H807" s="1">
        <v>6.0999999999999999E-2</v>
      </c>
      <c r="I807" s="12">
        <f t="shared" si="253"/>
        <v>33.365000000000002</v>
      </c>
      <c r="J807" s="12">
        <f>22090.15874-1501.2108</f>
        <v>20588.947939999998</v>
      </c>
      <c r="K807" s="12"/>
      <c r="L807" s="12">
        <f t="shared" si="254"/>
        <v>20588.947939999998</v>
      </c>
      <c r="M807" s="12">
        <f t="shared" si="246"/>
        <v>617.0822101004045</v>
      </c>
      <c r="N807" s="12" t="e">
        <f t="shared" si="255"/>
        <v>#REF!</v>
      </c>
      <c r="O807" s="12" t="e">
        <f t="shared" si="256"/>
        <v>#REF!</v>
      </c>
      <c r="P807" s="12" t="e">
        <f t="shared" si="257"/>
        <v>#REF!</v>
      </c>
    </row>
    <row r="808" spans="1:16" ht="15.75" hidden="1" x14ac:dyDescent="0.25">
      <c r="A808" s="14">
        <v>15</v>
      </c>
      <c r="B808" s="14">
        <v>32</v>
      </c>
      <c r="C808" s="8" t="s">
        <v>1129</v>
      </c>
      <c r="D808" s="28" t="s">
        <v>2290</v>
      </c>
      <c r="E808" s="12" t="s">
        <v>819</v>
      </c>
      <c r="F808" s="1"/>
      <c r="G808" s="1">
        <v>14.836</v>
      </c>
      <c r="H808" s="1">
        <v>8.0000000000000002E-3</v>
      </c>
      <c r="I808" s="12">
        <f t="shared" si="253"/>
        <v>14.843999999999999</v>
      </c>
      <c r="J808" s="12">
        <v>8671.0920600000009</v>
      </c>
      <c r="K808" s="12"/>
      <c r="L808" s="12">
        <f t="shared" si="254"/>
        <v>8671.0920600000009</v>
      </c>
      <c r="M808" s="12">
        <f t="shared" si="246"/>
        <v>584.14794260307201</v>
      </c>
      <c r="N808" s="12" t="e">
        <f t="shared" si="255"/>
        <v>#REF!</v>
      </c>
      <c r="O808" s="12" t="e">
        <f t="shared" si="256"/>
        <v>#REF!</v>
      </c>
      <c r="P808" s="12" t="e">
        <f t="shared" si="257"/>
        <v>#REF!</v>
      </c>
    </row>
    <row r="809" spans="1:16" ht="15.75" hidden="1" x14ac:dyDescent="0.25">
      <c r="A809" s="14">
        <v>15</v>
      </c>
      <c r="B809" s="14">
        <v>33</v>
      </c>
      <c r="C809" s="8" t="s">
        <v>1129</v>
      </c>
      <c r="D809" s="28" t="s">
        <v>2291</v>
      </c>
      <c r="E809" s="12" t="s">
        <v>1495</v>
      </c>
      <c r="F809" s="1"/>
      <c r="G809" s="1">
        <v>13.422000000000001</v>
      </c>
      <c r="H809" s="1">
        <v>1.4999999999999999E-2</v>
      </c>
      <c r="I809" s="12">
        <f t="shared" si="253"/>
        <v>13.437000000000001</v>
      </c>
      <c r="J809" s="12">
        <v>9341.6710600000006</v>
      </c>
      <c r="K809" s="12"/>
      <c r="L809" s="12">
        <f t="shared" si="254"/>
        <v>9341.6710600000006</v>
      </c>
      <c r="M809" s="12">
        <f t="shared" si="246"/>
        <v>695.21999404629003</v>
      </c>
      <c r="N809" s="12" t="e">
        <f t="shared" si="255"/>
        <v>#REF!</v>
      </c>
      <c r="O809" s="12" t="e">
        <f t="shared" si="256"/>
        <v>#REF!</v>
      </c>
      <c r="P809" s="12" t="e">
        <f t="shared" si="257"/>
        <v>#REF!</v>
      </c>
    </row>
    <row r="810" spans="1:16" ht="15.75" hidden="1" x14ac:dyDescent="0.25">
      <c r="A810" s="15">
        <v>15</v>
      </c>
      <c r="B810" s="15" t="s">
        <v>1126</v>
      </c>
      <c r="C810" s="10" t="s">
        <v>1743</v>
      </c>
      <c r="D810" s="29"/>
      <c r="E810" s="37" t="s">
        <v>1747</v>
      </c>
      <c r="F810" s="6"/>
      <c r="G810" s="37">
        <f t="shared" ref="G810:L810" si="258">SUM(G811:G835)</f>
        <v>260.10100000000006</v>
      </c>
      <c r="H810" s="37">
        <f>SUM(H811:H835)</f>
        <v>1.3779999999999997</v>
      </c>
      <c r="I810" s="37">
        <f t="shared" si="258"/>
        <v>261.47899999999993</v>
      </c>
      <c r="J810" s="37">
        <f t="shared" si="258"/>
        <v>253458.42079</v>
      </c>
      <c r="K810" s="37">
        <f t="shared" si="258"/>
        <v>0</v>
      </c>
      <c r="L810" s="37">
        <f t="shared" si="258"/>
        <v>253458.42079</v>
      </c>
      <c r="M810" s="37">
        <f t="shared" si="246"/>
        <v>969.32610569108829</v>
      </c>
      <c r="N810" s="37" t="e">
        <f>M810/$M$1429</f>
        <v>#REF!</v>
      </c>
      <c r="O810" s="37" t="e">
        <f>SUM(O811:O835)</f>
        <v>#REF!</v>
      </c>
      <c r="P810" s="37" t="e">
        <f>SUM(P811:P835)</f>
        <v>#REF!</v>
      </c>
    </row>
    <row r="811" spans="1:16" ht="15.75" hidden="1" x14ac:dyDescent="0.25">
      <c r="A811" s="14">
        <v>15</v>
      </c>
      <c r="B811" s="14">
        <v>34</v>
      </c>
      <c r="C811" s="8" t="s">
        <v>1744</v>
      </c>
      <c r="D811" s="28" t="s">
        <v>2292</v>
      </c>
      <c r="E811" s="12" t="s">
        <v>1769</v>
      </c>
      <c r="F811" s="1"/>
      <c r="G811" s="1">
        <v>32.279000000000003</v>
      </c>
      <c r="H811" s="1">
        <v>0.224</v>
      </c>
      <c r="I811" s="12">
        <f t="shared" ref="I811:I835" si="259">H811+G811</f>
        <v>32.503</v>
      </c>
      <c r="J811" s="12">
        <v>30851.568080000001</v>
      </c>
      <c r="K811" s="12"/>
      <c r="L811" s="12">
        <f t="shared" ref="L811:L833" si="260">J811+K811</f>
        <v>30851.568080000001</v>
      </c>
      <c r="M811" s="12">
        <f t="shared" si="246"/>
        <v>949.19140017844506</v>
      </c>
      <c r="N811" s="12" t="e">
        <f t="shared" ref="N811:N835" si="261">M811/$M$1433</f>
        <v>#REF!</v>
      </c>
      <c r="O811" s="12" t="e">
        <f t="shared" ref="O811:O835" si="262">ROUND(IF(N811&lt;110%,0,(M811-$M$1433*1.1)*0.8)*I811,1)</f>
        <v>#REF!</v>
      </c>
      <c r="P811" s="12" t="e">
        <f t="shared" ref="P811:P835" si="263">ROUND(IF(N811&gt;90%,0,(-M811+$M$1433*0.9)*0.8)*I811,1)</f>
        <v>#REF!</v>
      </c>
    </row>
    <row r="812" spans="1:16" ht="15.75" hidden="1" x14ac:dyDescent="0.25">
      <c r="A812" s="14">
        <v>15</v>
      </c>
      <c r="B812" s="14">
        <v>35</v>
      </c>
      <c r="C812" s="8" t="s">
        <v>1744</v>
      </c>
      <c r="D812" s="28" t="s">
        <v>2293</v>
      </c>
      <c r="E812" s="12" t="s">
        <v>1770</v>
      </c>
      <c r="F812" s="1"/>
      <c r="G812" s="1">
        <v>13.705</v>
      </c>
      <c r="H812" s="1">
        <v>0</v>
      </c>
      <c r="I812" s="12">
        <f t="shared" si="259"/>
        <v>13.705</v>
      </c>
      <c r="J812" s="12">
        <v>21364.53501</v>
      </c>
      <c r="K812" s="12"/>
      <c r="L812" s="12">
        <f t="shared" si="260"/>
        <v>21364.53501</v>
      </c>
      <c r="M812" s="12">
        <f t="shared" si="246"/>
        <v>1558.8861736592485</v>
      </c>
      <c r="N812" s="12" t="e">
        <f t="shared" si="261"/>
        <v>#REF!</v>
      </c>
      <c r="O812" s="12" t="e">
        <f t="shared" si="262"/>
        <v>#REF!</v>
      </c>
      <c r="P812" s="12" t="e">
        <f t="shared" si="263"/>
        <v>#REF!</v>
      </c>
    </row>
    <row r="813" spans="1:16" ht="31.5" hidden="1" x14ac:dyDescent="0.25">
      <c r="A813" s="14">
        <v>15</v>
      </c>
      <c r="B813" s="14">
        <v>36</v>
      </c>
      <c r="C813" s="8" t="s">
        <v>1744</v>
      </c>
      <c r="D813" s="28" t="s">
        <v>2294</v>
      </c>
      <c r="E813" s="12" t="s">
        <v>1771</v>
      </c>
      <c r="F813" s="1"/>
      <c r="G813" s="1">
        <v>12.676</v>
      </c>
      <c r="H813" s="1">
        <v>4.0000000000000001E-3</v>
      </c>
      <c r="I813" s="12">
        <f t="shared" si="259"/>
        <v>12.68</v>
      </c>
      <c r="J813" s="12">
        <v>11676.91</v>
      </c>
      <c r="K813" s="12"/>
      <c r="L813" s="12">
        <f t="shared" si="260"/>
        <v>11676.91</v>
      </c>
      <c r="M813" s="12">
        <f t="shared" si="246"/>
        <v>920.89195583596211</v>
      </c>
      <c r="N813" s="12" t="e">
        <f t="shared" si="261"/>
        <v>#REF!</v>
      </c>
      <c r="O813" s="12" t="e">
        <f t="shared" si="262"/>
        <v>#REF!</v>
      </c>
      <c r="P813" s="12" t="e">
        <f t="shared" si="263"/>
        <v>#REF!</v>
      </c>
    </row>
    <row r="814" spans="1:16" ht="15.75" hidden="1" x14ac:dyDescent="0.25">
      <c r="A814" s="14">
        <v>15</v>
      </c>
      <c r="B814" s="14">
        <v>37</v>
      </c>
      <c r="C814" s="8" t="s">
        <v>1744</v>
      </c>
      <c r="D814" s="28" t="s">
        <v>2295</v>
      </c>
      <c r="E814" s="12" t="s">
        <v>1042</v>
      </c>
      <c r="F814" s="1"/>
      <c r="G814" s="1">
        <v>10.997</v>
      </c>
      <c r="H814" s="1">
        <v>0.14299999999999999</v>
      </c>
      <c r="I814" s="12">
        <f t="shared" si="259"/>
        <v>11.14</v>
      </c>
      <c r="J814" s="12">
        <v>21209.677319999999</v>
      </c>
      <c r="K814" s="12"/>
      <c r="L814" s="12">
        <f t="shared" si="260"/>
        <v>21209.677319999999</v>
      </c>
      <c r="M814" s="12">
        <f t="shared" si="246"/>
        <v>1903.92076481149</v>
      </c>
      <c r="N814" s="12" t="e">
        <f t="shared" si="261"/>
        <v>#REF!</v>
      </c>
      <c r="O814" s="12" t="e">
        <f t="shared" si="262"/>
        <v>#REF!</v>
      </c>
      <c r="P814" s="12" t="e">
        <f t="shared" si="263"/>
        <v>#REF!</v>
      </c>
    </row>
    <row r="815" spans="1:16" ht="15.75" hidden="1" x14ac:dyDescent="0.25">
      <c r="A815" s="14">
        <v>15</v>
      </c>
      <c r="B815" s="14">
        <v>38</v>
      </c>
      <c r="C815" s="8" t="s">
        <v>1744</v>
      </c>
      <c r="D815" s="28" t="s">
        <v>2296</v>
      </c>
      <c r="E815" s="12" t="s">
        <v>99</v>
      </c>
      <c r="F815" s="1"/>
      <c r="G815" s="1">
        <v>5.992</v>
      </c>
      <c r="H815" s="1">
        <v>1.6E-2</v>
      </c>
      <c r="I815" s="12">
        <f t="shared" si="259"/>
        <v>6.008</v>
      </c>
      <c r="J815" s="12">
        <v>3477.8809999999999</v>
      </c>
      <c r="K815" s="12"/>
      <c r="L815" s="12">
        <f t="shared" si="260"/>
        <v>3477.8809999999999</v>
      </c>
      <c r="M815" s="12">
        <f t="shared" si="246"/>
        <v>578.875</v>
      </c>
      <c r="N815" s="12" t="e">
        <f t="shared" si="261"/>
        <v>#REF!</v>
      </c>
      <c r="O815" s="12" t="e">
        <f t="shared" si="262"/>
        <v>#REF!</v>
      </c>
      <c r="P815" s="12" t="e">
        <f t="shared" si="263"/>
        <v>#REF!</v>
      </c>
    </row>
    <row r="816" spans="1:16" ht="15.75" hidden="1" x14ac:dyDescent="0.25">
      <c r="A816" s="14">
        <v>15</v>
      </c>
      <c r="B816" s="14">
        <v>39</v>
      </c>
      <c r="C816" s="8" t="s">
        <v>1744</v>
      </c>
      <c r="D816" s="28" t="s">
        <v>2297</v>
      </c>
      <c r="E816" s="12" t="s">
        <v>1772</v>
      </c>
      <c r="F816" s="1"/>
      <c r="G816" s="1">
        <v>4.2649999999999997</v>
      </c>
      <c r="H816" s="1">
        <v>7.0000000000000001E-3</v>
      </c>
      <c r="I816" s="12">
        <f t="shared" si="259"/>
        <v>4.2719999999999994</v>
      </c>
      <c r="J816" s="12">
        <v>2866.0906500000001</v>
      </c>
      <c r="K816" s="12"/>
      <c r="L816" s="12">
        <f t="shared" si="260"/>
        <v>2866.0906500000001</v>
      </c>
      <c r="M816" s="12">
        <f t="shared" si="246"/>
        <v>670.90136938202261</v>
      </c>
      <c r="N816" s="12" t="e">
        <f t="shared" si="261"/>
        <v>#REF!</v>
      </c>
      <c r="O816" s="12" t="e">
        <f t="shared" si="262"/>
        <v>#REF!</v>
      </c>
      <c r="P816" s="12" t="e">
        <f t="shared" si="263"/>
        <v>#REF!</v>
      </c>
    </row>
    <row r="817" spans="1:16" ht="15.75" hidden="1" x14ac:dyDescent="0.25">
      <c r="A817" s="14">
        <v>15</v>
      </c>
      <c r="B817" s="14">
        <v>40</v>
      </c>
      <c r="C817" s="8" t="s">
        <v>1744</v>
      </c>
      <c r="D817" s="28" t="s">
        <v>2298</v>
      </c>
      <c r="E817" s="12" t="s">
        <v>2299</v>
      </c>
      <c r="F817" s="1"/>
      <c r="G817" s="1">
        <v>2.5870000000000002</v>
      </c>
      <c r="H817" s="1">
        <v>2E-3</v>
      </c>
      <c r="I817" s="12">
        <f t="shared" si="259"/>
        <v>2.589</v>
      </c>
      <c r="J817" s="12">
        <v>1526.6378999999999</v>
      </c>
      <c r="K817" s="12"/>
      <c r="L817" s="12">
        <f t="shared" si="260"/>
        <v>1526.6378999999999</v>
      </c>
      <c r="M817" s="12">
        <f t="shared" si="246"/>
        <v>589.66315179606022</v>
      </c>
      <c r="N817" s="12" t="e">
        <f t="shared" si="261"/>
        <v>#REF!</v>
      </c>
      <c r="O817" s="12" t="e">
        <f t="shared" si="262"/>
        <v>#REF!</v>
      </c>
      <c r="P817" s="12" t="e">
        <f t="shared" si="263"/>
        <v>#REF!</v>
      </c>
    </row>
    <row r="818" spans="1:16" ht="15.75" hidden="1" x14ac:dyDescent="0.25">
      <c r="A818" s="14">
        <v>15</v>
      </c>
      <c r="B818" s="14">
        <v>41</v>
      </c>
      <c r="C818" s="8" t="s">
        <v>1744</v>
      </c>
      <c r="D818" s="28" t="s">
        <v>2300</v>
      </c>
      <c r="E818" s="12" t="s">
        <v>1043</v>
      </c>
      <c r="F818" s="1"/>
      <c r="G818" s="1">
        <v>2.2890000000000001</v>
      </c>
      <c r="H818" s="1">
        <v>8.9999999999999993E-3</v>
      </c>
      <c r="I818" s="12">
        <f t="shared" si="259"/>
        <v>2.298</v>
      </c>
      <c r="J818" s="12">
        <v>2533.75434</v>
      </c>
      <c r="K818" s="12"/>
      <c r="L818" s="12">
        <f t="shared" si="260"/>
        <v>2533.75434</v>
      </c>
      <c r="M818" s="12">
        <f t="shared" si="246"/>
        <v>1102.591096605744</v>
      </c>
      <c r="N818" s="12" t="e">
        <f t="shared" si="261"/>
        <v>#REF!</v>
      </c>
      <c r="O818" s="12" t="e">
        <f t="shared" si="262"/>
        <v>#REF!</v>
      </c>
      <c r="P818" s="12" t="e">
        <f t="shared" si="263"/>
        <v>#REF!</v>
      </c>
    </row>
    <row r="819" spans="1:16" ht="15.75" hidden="1" x14ac:dyDescent="0.25">
      <c r="A819" s="14">
        <v>15</v>
      </c>
      <c r="B819" s="14">
        <v>42</v>
      </c>
      <c r="C819" s="8" t="s">
        <v>1744</v>
      </c>
      <c r="D819" s="28" t="s">
        <v>367</v>
      </c>
      <c r="E819" s="12" t="s">
        <v>368</v>
      </c>
      <c r="F819" s="1"/>
      <c r="G819" s="1">
        <v>5.258</v>
      </c>
      <c r="H819" s="1">
        <v>1.7999999999999999E-2</v>
      </c>
      <c r="I819" s="12">
        <f t="shared" si="259"/>
        <v>5.2759999999999998</v>
      </c>
      <c r="J819" s="12">
        <v>1939.2364299999999</v>
      </c>
      <c r="K819" s="12"/>
      <c r="L819" s="12">
        <f t="shared" si="260"/>
        <v>1939.2364299999999</v>
      </c>
      <c r="M819" s="12">
        <f t="shared" si="246"/>
        <v>367.55807998483698</v>
      </c>
      <c r="N819" s="12" t="e">
        <f t="shared" si="261"/>
        <v>#REF!</v>
      </c>
      <c r="O819" s="12" t="e">
        <f t="shared" si="262"/>
        <v>#REF!</v>
      </c>
      <c r="P819" s="12" t="e">
        <f t="shared" si="263"/>
        <v>#REF!</v>
      </c>
    </row>
    <row r="820" spans="1:16" ht="15.75" hidden="1" x14ac:dyDescent="0.25">
      <c r="A820" s="14">
        <v>15</v>
      </c>
      <c r="B820" s="14">
        <v>43</v>
      </c>
      <c r="C820" s="8" t="s">
        <v>1744</v>
      </c>
      <c r="D820" s="28" t="s">
        <v>369</v>
      </c>
      <c r="E820" s="12" t="s">
        <v>370</v>
      </c>
      <c r="F820" s="1"/>
      <c r="G820" s="1">
        <v>11.308999999999999</v>
      </c>
      <c r="H820" s="1">
        <v>8.0000000000000002E-3</v>
      </c>
      <c r="I820" s="12">
        <f t="shared" si="259"/>
        <v>11.316999999999998</v>
      </c>
      <c r="J820" s="12">
        <f>9194.24839-522.90239-382.2557</f>
        <v>8289.0903000000017</v>
      </c>
      <c r="K820" s="12"/>
      <c r="L820" s="12">
        <f t="shared" si="260"/>
        <v>8289.0903000000017</v>
      </c>
      <c r="M820" s="12">
        <f t="shared" si="246"/>
        <v>732.44590439162346</v>
      </c>
      <c r="N820" s="12" t="e">
        <f t="shared" si="261"/>
        <v>#REF!</v>
      </c>
      <c r="O820" s="12" t="e">
        <f t="shared" si="262"/>
        <v>#REF!</v>
      </c>
      <c r="P820" s="12" t="e">
        <f t="shared" si="263"/>
        <v>#REF!</v>
      </c>
    </row>
    <row r="821" spans="1:16" ht="15.75" hidden="1" x14ac:dyDescent="0.25">
      <c r="A821" s="14">
        <v>15</v>
      </c>
      <c r="B821" s="14">
        <v>44</v>
      </c>
      <c r="C821" s="8" t="s">
        <v>1744</v>
      </c>
      <c r="D821" s="28" t="s">
        <v>371</v>
      </c>
      <c r="E821" s="12" t="s">
        <v>372</v>
      </c>
      <c r="F821" s="1"/>
      <c r="G821" s="1">
        <v>4.9640000000000004</v>
      </c>
      <c r="H821" s="1">
        <v>1.0999999999999999E-2</v>
      </c>
      <c r="I821" s="12">
        <f t="shared" si="259"/>
        <v>4.9750000000000005</v>
      </c>
      <c r="J821" s="12">
        <v>4746.6833500000002</v>
      </c>
      <c r="K821" s="12"/>
      <c r="L821" s="12">
        <f t="shared" si="260"/>
        <v>4746.6833500000002</v>
      </c>
      <c r="M821" s="12">
        <f t="shared" si="246"/>
        <v>954.10720603015068</v>
      </c>
      <c r="N821" s="12" t="e">
        <f t="shared" si="261"/>
        <v>#REF!</v>
      </c>
      <c r="O821" s="12" t="e">
        <f t="shared" si="262"/>
        <v>#REF!</v>
      </c>
      <c r="P821" s="12" t="e">
        <f t="shared" si="263"/>
        <v>#REF!</v>
      </c>
    </row>
    <row r="822" spans="1:16" ht="15.75" hidden="1" x14ac:dyDescent="0.25">
      <c r="A822" s="14">
        <v>15</v>
      </c>
      <c r="B822" s="14">
        <v>45</v>
      </c>
      <c r="C822" s="8" t="s">
        <v>1744</v>
      </c>
      <c r="D822" s="28" t="s">
        <v>549</v>
      </c>
      <c r="E822" s="42" t="s">
        <v>820</v>
      </c>
      <c r="F822" s="43"/>
      <c r="G822" s="43">
        <v>8.4819999999999993</v>
      </c>
      <c r="H822" s="43">
        <v>2.3E-2</v>
      </c>
      <c r="I822" s="12">
        <f t="shared" si="259"/>
        <v>8.504999999999999</v>
      </c>
      <c r="J822" s="42">
        <v>3198.6043599999998</v>
      </c>
      <c r="K822" s="42"/>
      <c r="L822" s="42">
        <f t="shared" si="260"/>
        <v>3198.6043599999998</v>
      </c>
      <c r="M822" s="42">
        <f t="shared" si="246"/>
        <v>376.08516872427987</v>
      </c>
      <c r="N822" s="12" t="e">
        <f t="shared" si="261"/>
        <v>#REF!</v>
      </c>
      <c r="O822" s="12" t="e">
        <f t="shared" si="262"/>
        <v>#REF!</v>
      </c>
      <c r="P822" s="12" t="e">
        <f t="shared" si="263"/>
        <v>#REF!</v>
      </c>
    </row>
    <row r="823" spans="1:16" ht="15.75" hidden="1" x14ac:dyDescent="0.25">
      <c r="A823" s="49">
        <v>15</v>
      </c>
      <c r="B823" s="49">
        <v>46</v>
      </c>
      <c r="C823" s="50" t="s">
        <v>1744</v>
      </c>
      <c r="D823" s="51" t="s">
        <v>821</v>
      </c>
      <c r="E823" s="52" t="s">
        <v>822</v>
      </c>
      <c r="F823" s="53"/>
      <c r="G823" s="53">
        <v>26.533999999999999</v>
      </c>
      <c r="H823" s="53">
        <v>4.7E-2</v>
      </c>
      <c r="I823" s="12">
        <f t="shared" si="259"/>
        <v>26.581</v>
      </c>
      <c r="J823" s="52">
        <v>15125.37262</v>
      </c>
      <c r="K823" s="52"/>
      <c r="L823" s="52">
        <f t="shared" si="260"/>
        <v>15125.37262</v>
      </c>
      <c r="M823" s="52">
        <f t="shared" si="246"/>
        <v>569.02948045596474</v>
      </c>
      <c r="N823" s="12" t="e">
        <f t="shared" si="261"/>
        <v>#REF!</v>
      </c>
      <c r="O823" s="12" t="e">
        <f t="shared" si="262"/>
        <v>#REF!</v>
      </c>
      <c r="P823" s="12" t="e">
        <f t="shared" si="263"/>
        <v>#REF!</v>
      </c>
    </row>
    <row r="824" spans="1:16" ht="15.75" hidden="1" x14ac:dyDescent="0.25">
      <c r="A824" s="49">
        <v>15</v>
      </c>
      <c r="B824" s="49">
        <v>47</v>
      </c>
      <c r="C824" s="50" t="s">
        <v>1744</v>
      </c>
      <c r="D824" s="51" t="s">
        <v>823</v>
      </c>
      <c r="E824" s="52" t="s">
        <v>824</v>
      </c>
      <c r="F824" s="53"/>
      <c r="G824" s="53">
        <v>11.4</v>
      </c>
      <c r="H824" s="53">
        <v>2.5999999999999999E-2</v>
      </c>
      <c r="I824" s="12">
        <f t="shared" si="259"/>
        <v>11.426</v>
      </c>
      <c r="J824" s="52">
        <v>11109.44427</v>
      </c>
      <c r="K824" s="52"/>
      <c r="L824" s="52">
        <f t="shared" si="260"/>
        <v>11109.44427</v>
      </c>
      <c r="M824" s="52">
        <f t="shared" si="246"/>
        <v>972.29514003150712</v>
      </c>
      <c r="N824" s="12" t="e">
        <f t="shared" si="261"/>
        <v>#REF!</v>
      </c>
      <c r="O824" s="12" t="e">
        <f t="shared" si="262"/>
        <v>#REF!</v>
      </c>
      <c r="P824" s="12" t="e">
        <f t="shared" si="263"/>
        <v>#REF!</v>
      </c>
    </row>
    <row r="825" spans="1:16" ht="15.75" hidden="1" x14ac:dyDescent="0.25">
      <c r="A825" s="49">
        <v>15</v>
      </c>
      <c r="B825" s="49">
        <v>48</v>
      </c>
      <c r="C825" s="50" t="s">
        <v>1744</v>
      </c>
      <c r="D825" s="51" t="s">
        <v>825</v>
      </c>
      <c r="E825" s="52" t="s">
        <v>826</v>
      </c>
      <c r="F825" s="53"/>
      <c r="G825" s="53">
        <v>9.6869999999999994</v>
      </c>
      <c r="H825" s="53">
        <v>0.02</v>
      </c>
      <c r="I825" s="12">
        <f t="shared" si="259"/>
        <v>9.706999999999999</v>
      </c>
      <c r="J825" s="52">
        <v>7280.6626500000002</v>
      </c>
      <c r="K825" s="52"/>
      <c r="L825" s="52">
        <f t="shared" si="260"/>
        <v>7280.6626500000002</v>
      </c>
      <c r="M825" s="52">
        <f t="shared" si="246"/>
        <v>750.04251055939028</v>
      </c>
      <c r="N825" s="12" t="e">
        <f t="shared" si="261"/>
        <v>#REF!</v>
      </c>
      <c r="O825" s="12" t="e">
        <f t="shared" si="262"/>
        <v>#REF!</v>
      </c>
      <c r="P825" s="12" t="e">
        <f t="shared" si="263"/>
        <v>#REF!</v>
      </c>
    </row>
    <row r="826" spans="1:16" ht="15.75" hidden="1" x14ac:dyDescent="0.25">
      <c r="A826" s="49">
        <v>15</v>
      </c>
      <c r="B826" s="49">
        <v>49</v>
      </c>
      <c r="C826" s="50" t="s">
        <v>1744</v>
      </c>
      <c r="D826" s="51" t="s">
        <v>827</v>
      </c>
      <c r="E826" s="52" t="s">
        <v>828</v>
      </c>
      <c r="F826" s="53"/>
      <c r="G826" s="53">
        <v>14.452999999999999</v>
      </c>
      <c r="H826" s="53">
        <v>0.10199999999999999</v>
      </c>
      <c r="I826" s="12">
        <f t="shared" si="259"/>
        <v>14.555</v>
      </c>
      <c r="J826" s="52">
        <v>25614.681400000001</v>
      </c>
      <c r="K826" s="52"/>
      <c r="L826" s="52">
        <f t="shared" si="260"/>
        <v>25614.681400000001</v>
      </c>
      <c r="M826" s="52">
        <f t="shared" si="246"/>
        <v>1759.8544417725868</v>
      </c>
      <c r="N826" s="12" t="e">
        <f t="shared" si="261"/>
        <v>#REF!</v>
      </c>
      <c r="O826" s="12" t="e">
        <f t="shared" si="262"/>
        <v>#REF!</v>
      </c>
      <c r="P826" s="12" t="e">
        <f t="shared" si="263"/>
        <v>#REF!</v>
      </c>
    </row>
    <row r="827" spans="1:16" ht="15.75" hidden="1" x14ac:dyDescent="0.25">
      <c r="A827" s="49">
        <v>15</v>
      </c>
      <c r="B827" s="49">
        <v>50</v>
      </c>
      <c r="C827" s="50" t="s">
        <v>1744</v>
      </c>
      <c r="D827" s="51" t="s">
        <v>829</v>
      </c>
      <c r="E827" s="52" t="s">
        <v>830</v>
      </c>
      <c r="F827" s="53"/>
      <c r="G827" s="53">
        <v>11.696999999999999</v>
      </c>
      <c r="H827" s="53">
        <v>1.4999999999999999E-2</v>
      </c>
      <c r="I827" s="12">
        <f t="shared" si="259"/>
        <v>11.712</v>
      </c>
      <c r="J827" s="52">
        <v>6791.8891999999996</v>
      </c>
      <c r="K827" s="52"/>
      <c r="L827" s="52">
        <f t="shared" si="260"/>
        <v>6791.8891999999996</v>
      </c>
      <c r="M827" s="52">
        <f t="shared" si="246"/>
        <v>579.90857240437151</v>
      </c>
      <c r="N827" s="12" t="e">
        <f t="shared" si="261"/>
        <v>#REF!</v>
      </c>
      <c r="O827" s="12" t="e">
        <f t="shared" si="262"/>
        <v>#REF!</v>
      </c>
      <c r="P827" s="12" t="e">
        <f t="shared" si="263"/>
        <v>#REF!</v>
      </c>
    </row>
    <row r="828" spans="1:16" ht="15.75" hidden="1" x14ac:dyDescent="0.25">
      <c r="A828" s="49">
        <v>15</v>
      </c>
      <c r="B828" s="49">
        <v>51</v>
      </c>
      <c r="C828" s="50" t="s">
        <v>1744</v>
      </c>
      <c r="D828" s="51" t="s">
        <v>831</v>
      </c>
      <c r="E828" s="52" t="s">
        <v>832</v>
      </c>
      <c r="F828" s="53"/>
      <c r="G828" s="53">
        <v>10.000999999999999</v>
      </c>
      <c r="H828" s="53">
        <v>0.34899999999999998</v>
      </c>
      <c r="I828" s="12">
        <f t="shared" si="259"/>
        <v>10.35</v>
      </c>
      <c r="J828" s="52">
        <v>26965.33941</v>
      </c>
      <c r="K828" s="52"/>
      <c r="L828" s="52">
        <f t="shared" si="260"/>
        <v>26965.33941</v>
      </c>
      <c r="M828" s="52">
        <f t="shared" si="246"/>
        <v>2605.3468028985508</v>
      </c>
      <c r="N828" s="12" t="e">
        <f t="shared" si="261"/>
        <v>#REF!</v>
      </c>
      <c r="O828" s="12" t="e">
        <f t="shared" si="262"/>
        <v>#REF!</v>
      </c>
      <c r="P828" s="12" t="e">
        <f t="shared" si="263"/>
        <v>#REF!</v>
      </c>
    </row>
    <row r="829" spans="1:16" ht="15.75" hidden="1" x14ac:dyDescent="0.25">
      <c r="A829" s="49">
        <v>15</v>
      </c>
      <c r="B829" s="49">
        <v>52</v>
      </c>
      <c r="C829" s="50" t="s">
        <v>1744</v>
      </c>
      <c r="D829" s="51" t="s">
        <v>833</v>
      </c>
      <c r="E829" s="52" t="s">
        <v>834</v>
      </c>
      <c r="F829" s="53"/>
      <c r="G829" s="53">
        <v>8.9930000000000003</v>
      </c>
      <c r="H829" s="53">
        <v>0.10199999999999999</v>
      </c>
      <c r="I829" s="12">
        <f t="shared" si="259"/>
        <v>9.0950000000000006</v>
      </c>
      <c r="J829" s="52">
        <v>5257.0902699999997</v>
      </c>
      <c r="K829" s="52"/>
      <c r="L829" s="52">
        <f t="shared" si="260"/>
        <v>5257.0902699999997</v>
      </c>
      <c r="M829" s="52">
        <f t="shared" si="246"/>
        <v>578.01982078064862</v>
      </c>
      <c r="N829" s="12" t="e">
        <f t="shared" si="261"/>
        <v>#REF!</v>
      </c>
      <c r="O829" s="12" t="e">
        <f t="shared" si="262"/>
        <v>#REF!</v>
      </c>
      <c r="P829" s="12" t="e">
        <f t="shared" si="263"/>
        <v>#REF!</v>
      </c>
    </row>
    <row r="830" spans="1:16" ht="15.75" hidden="1" x14ac:dyDescent="0.25">
      <c r="A830" s="49">
        <v>15</v>
      </c>
      <c r="B830" s="49">
        <v>53</v>
      </c>
      <c r="C830" s="50" t="s">
        <v>1744</v>
      </c>
      <c r="D830" s="51" t="s">
        <v>835</v>
      </c>
      <c r="E830" s="52" t="s">
        <v>836</v>
      </c>
      <c r="F830" s="53"/>
      <c r="G830" s="53">
        <v>2.9460000000000002</v>
      </c>
      <c r="H830" s="53">
        <v>5.0000000000000001E-3</v>
      </c>
      <c r="I830" s="12">
        <f t="shared" si="259"/>
        <v>2.9510000000000001</v>
      </c>
      <c r="J830" s="52">
        <v>1501.2108000000001</v>
      </c>
      <c r="K830" s="52"/>
      <c r="L830" s="52">
        <f t="shared" si="260"/>
        <v>1501.2108000000001</v>
      </c>
      <c r="M830" s="52">
        <f t="shared" si="246"/>
        <v>508.71257200948833</v>
      </c>
      <c r="N830" s="12" t="e">
        <f t="shared" si="261"/>
        <v>#REF!</v>
      </c>
      <c r="O830" s="12" t="e">
        <f t="shared" si="262"/>
        <v>#REF!</v>
      </c>
      <c r="P830" s="12" t="e">
        <f t="shared" si="263"/>
        <v>#REF!</v>
      </c>
    </row>
    <row r="831" spans="1:16" ht="31.5" hidden="1" x14ac:dyDescent="0.25">
      <c r="A831" s="49">
        <v>15</v>
      </c>
      <c r="B831" s="49">
        <v>54</v>
      </c>
      <c r="C831" s="50" t="s">
        <v>1744</v>
      </c>
      <c r="D831" s="51" t="s">
        <v>837</v>
      </c>
      <c r="E831" s="52" t="s">
        <v>838</v>
      </c>
      <c r="F831" s="53"/>
      <c r="G831" s="53">
        <v>9.49</v>
      </c>
      <c r="H831" s="53">
        <v>0.184</v>
      </c>
      <c r="I831" s="12">
        <f t="shared" si="259"/>
        <v>9.6739999999999995</v>
      </c>
      <c r="J831" s="52">
        <f>2577.43392+1168.22553+622.13523</f>
        <v>4367.79468</v>
      </c>
      <c r="K831" s="52"/>
      <c r="L831" s="52">
        <f t="shared" si="260"/>
        <v>4367.79468</v>
      </c>
      <c r="M831" s="52">
        <f t="shared" si="246"/>
        <v>451.4983130039281</v>
      </c>
      <c r="N831" s="12" t="e">
        <f t="shared" si="261"/>
        <v>#REF!</v>
      </c>
      <c r="O831" s="12" t="e">
        <f t="shared" si="262"/>
        <v>#REF!</v>
      </c>
      <c r="P831" s="12" t="e">
        <f t="shared" si="263"/>
        <v>#REF!</v>
      </c>
    </row>
    <row r="832" spans="1:16" ht="31.5" hidden="1" x14ac:dyDescent="0.25">
      <c r="A832" s="49">
        <v>15</v>
      </c>
      <c r="B832" s="49">
        <v>55</v>
      </c>
      <c r="C832" s="50" t="s">
        <v>1744</v>
      </c>
      <c r="D832" s="51" t="s">
        <v>839</v>
      </c>
      <c r="E832" s="52" t="s">
        <v>840</v>
      </c>
      <c r="F832" s="53"/>
      <c r="G832" s="53">
        <v>5.07</v>
      </c>
      <c r="H832" s="53">
        <v>1E-3</v>
      </c>
      <c r="I832" s="12">
        <f t="shared" si="259"/>
        <v>5.0710000000000006</v>
      </c>
      <c r="J832" s="52">
        <f>2047.17116+522.90239</f>
        <v>2570.0735500000001</v>
      </c>
      <c r="K832" s="52"/>
      <c r="L832" s="52">
        <f t="shared" si="260"/>
        <v>2570.0735500000001</v>
      </c>
      <c r="M832" s="52">
        <f t="shared" si="246"/>
        <v>506.81789587852489</v>
      </c>
      <c r="N832" s="12" t="e">
        <f t="shared" si="261"/>
        <v>#REF!</v>
      </c>
      <c r="O832" s="12" t="e">
        <f t="shared" si="262"/>
        <v>#REF!</v>
      </c>
      <c r="P832" s="12" t="e">
        <f t="shared" si="263"/>
        <v>#REF!</v>
      </c>
    </row>
    <row r="833" spans="1:16" ht="31.5" hidden="1" x14ac:dyDescent="0.25">
      <c r="A833" s="49">
        <v>15</v>
      </c>
      <c r="B833" s="49">
        <v>56</v>
      </c>
      <c r="C833" s="50" t="s">
        <v>1744</v>
      </c>
      <c r="D833" s="51" t="s">
        <v>841</v>
      </c>
      <c r="E833" s="52" t="s">
        <v>842</v>
      </c>
      <c r="F833" s="53"/>
      <c r="G833" s="53">
        <v>8.7430000000000003</v>
      </c>
      <c r="H833" s="53">
        <v>3.6999999999999998E-2</v>
      </c>
      <c r="I833" s="12">
        <f t="shared" si="259"/>
        <v>8.7800000000000011</v>
      </c>
      <c r="J833" s="52">
        <f>2097.19703+612.36195+382.2557</f>
        <v>3091.81468</v>
      </c>
      <c r="K833" s="52"/>
      <c r="L833" s="52">
        <f t="shared" si="260"/>
        <v>3091.81468</v>
      </c>
      <c r="M833" s="52">
        <f t="shared" si="246"/>
        <v>352.14290205011383</v>
      </c>
      <c r="N833" s="12" t="e">
        <f t="shared" si="261"/>
        <v>#REF!</v>
      </c>
      <c r="O833" s="12" t="e">
        <f t="shared" si="262"/>
        <v>#REF!</v>
      </c>
      <c r="P833" s="12" t="e">
        <f t="shared" si="263"/>
        <v>#REF!</v>
      </c>
    </row>
    <row r="834" spans="1:16" ht="37.5" hidden="1" x14ac:dyDescent="0.3">
      <c r="A834" s="49">
        <v>15</v>
      </c>
      <c r="B834" s="49">
        <v>57</v>
      </c>
      <c r="C834" s="12" t="s">
        <v>1744</v>
      </c>
      <c r="D834" s="61" t="s">
        <v>1101</v>
      </c>
      <c r="E834" s="63" t="s">
        <v>1102</v>
      </c>
      <c r="F834" s="53"/>
      <c r="G834" s="53">
        <v>13.401</v>
      </c>
      <c r="H834" s="53">
        <v>0</v>
      </c>
      <c r="I834" s="12">
        <f t="shared" si="259"/>
        <v>13.401</v>
      </c>
      <c r="J834" s="52">
        <v>4472.2964000000002</v>
      </c>
      <c r="K834" s="52"/>
      <c r="L834" s="52">
        <f>J834+K834</f>
        <v>4472.2964000000002</v>
      </c>
      <c r="M834" s="52">
        <f>L834/I834</f>
        <v>333.72855757033057</v>
      </c>
      <c r="N834" s="12" t="e">
        <f t="shared" si="261"/>
        <v>#REF!</v>
      </c>
      <c r="O834" s="12" t="e">
        <f t="shared" si="262"/>
        <v>#REF!</v>
      </c>
      <c r="P834" s="12" t="e">
        <f t="shared" si="263"/>
        <v>#REF!</v>
      </c>
    </row>
    <row r="835" spans="1:16" ht="18.75" hidden="1" x14ac:dyDescent="0.3">
      <c r="A835" s="49">
        <v>15</v>
      </c>
      <c r="B835" s="49">
        <v>58</v>
      </c>
      <c r="C835" s="12" t="s">
        <v>1744</v>
      </c>
      <c r="D835" s="61" t="s">
        <v>1103</v>
      </c>
      <c r="E835" s="63" t="s">
        <v>1104</v>
      </c>
      <c r="F835" s="53"/>
      <c r="G835" s="53">
        <v>12.882999999999999</v>
      </c>
      <c r="H835" s="53">
        <v>2.5000000000000001E-2</v>
      </c>
      <c r="I835" s="12">
        <f t="shared" si="259"/>
        <v>12.907999999999999</v>
      </c>
      <c r="J835" s="52">
        <v>25630.082119999999</v>
      </c>
      <c r="K835" s="52"/>
      <c r="L835" s="52">
        <f>J835+K835</f>
        <v>25630.082119999999</v>
      </c>
      <c r="M835" s="52">
        <f>L835/I835</f>
        <v>1985.5966935233964</v>
      </c>
      <c r="N835" s="12" t="e">
        <f t="shared" si="261"/>
        <v>#REF!</v>
      </c>
      <c r="O835" s="12" t="e">
        <f t="shared" si="262"/>
        <v>#REF!</v>
      </c>
      <c r="P835" s="12" t="e">
        <f t="shared" si="263"/>
        <v>#REF!</v>
      </c>
    </row>
    <row r="836" spans="1:16" s="75" customFormat="1" ht="15.75" hidden="1" x14ac:dyDescent="0.25">
      <c r="A836" s="72">
        <v>16</v>
      </c>
      <c r="B836" s="72" t="s">
        <v>1126</v>
      </c>
      <c r="C836" s="73" t="s">
        <v>1161</v>
      </c>
      <c r="D836" s="74"/>
      <c r="E836" s="71" t="s">
        <v>1526</v>
      </c>
      <c r="F836" s="76"/>
      <c r="G836" s="71">
        <f t="shared" ref="G836:L836" si="264">G837+G838+G845+G871</f>
        <v>1426.8280000000002</v>
      </c>
      <c r="H836" s="71">
        <f t="shared" si="264"/>
        <v>28.221</v>
      </c>
      <c r="I836" s="71">
        <f t="shared" si="264"/>
        <v>1455.0490000000002</v>
      </c>
      <c r="J836" s="71">
        <f t="shared" si="264"/>
        <v>2780987.7655500001</v>
      </c>
      <c r="K836" s="71">
        <f t="shared" si="264"/>
        <v>0</v>
      </c>
      <c r="L836" s="71">
        <f t="shared" si="264"/>
        <v>2780987.7655500001</v>
      </c>
      <c r="M836" s="71">
        <f>L836/I836</f>
        <v>1911.2674319215364</v>
      </c>
      <c r="N836" s="71" t="e">
        <f>M836/$M$1429</f>
        <v>#REF!</v>
      </c>
      <c r="O836" s="71" t="e">
        <f>O837+O838+O845+O871</f>
        <v>#REF!</v>
      </c>
      <c r="P836" s="71" t="e">
        <f>P837+P838+P845+P871</f>
        <v>#REF!</v>
      </c>
    </row>
    <row r="837" spans="1:16" ht="15.75" hidden="1" x14ac:dyDescent="0.25">
      <c r="A837" s="14">
        <v>16</v>
      </c>
      <c r="B837" s="14" t="s">
        <v>1126</v>
      </c>
      <c r="C837" s="8" t="s">
        <v>1159</v>
      </c>
      <c r="D837" s="28" t="s">
        <v>2301</v>
      </c>
      <c r="E837" s="12" t="s">
        <v>1160</v>
      </c>
      <c r="F837" s="1"/>
      <c r="G837" s="1">
        <v>0</v>
      </c>
      <c r="H837" s="1">
        <v>0</v>
      </c>
      <c r="I837" s="12">
        <f>H837+G837</f>
        <v>0</v>
      </c>
      <c r="J837" s="12"/>
      <c r="K837" s="12"/>
      <c r="L837" s="12"/>
      <c r="M837" s="12"/>
      <c r="N837" s="12"/>
      <c r="O837" s="12"/>
      <c r="P837" s="12"/>
    </row>
    <row r="838" spans="1:16" ht="15.75" hidden="1" x14ac:dyDescent="0.25">
      <c r="A838" s="15">
        <v>16</v>
      </c>
      <c r="B838" s="15" t="s">
        <v>1126</v>
      </c>
      <c r="C838" s="10" t="s">
        <v>1127</v>
      </c>
      <c r="D838" s="29"/>
      <c r="E838" s="37" t="s">
        <v>1128</v>
      </c>
      <c r="F838" s="6"/>
      <c r="G838" s="37">
        <f t="shared" ref="G838:L838" si="265">SUM(G839:G844)</f>
        <v>679.09700000000009</v>
      </c>
      <c r="H838" s="37">
        <f>SUM(H839:H844)</f>
        <v>16.663</v>
      </c>
      <c r="I838" s="37">
        <f t="shared" si="265"/>
        <v>695.7600000000001</v>
      </c>
      <c r="J838" s="37">
        <f t="shared" si="265"/>
        <v>1547388.9549700001</v>
      </c>
      <c r="K838" s="37">
        <f t="shared" si="265"/>
        <v>0</v>
      </c>
      <c r="L838" s="37">
        <f t="shared" si="265"/>
        <v>1547388.9549700001</v>
      </c>
      <c r="M838" s="37">
        <f t="shared" ref="M838:M901" si="266">L838/I838</f>
        <v>2224.026898600092</v>
      </c>
      <c r="N838" s="37" t="e">
        <f>M838/$M$1429</f>
        <v>#REF!</v>
      </c>
      <c r="O838" s="37" t="e">
        <f>SUM(O839:O844)</f>
        <v>#REF!</v>
      </c>
      <c r="P838" s="37" t="e">
        <f>SUM(P839:P844)</f>
        <v>#REF!</v>
      </c>
    </row>
    <row r="839" spans="1:16" ht="15.75" hidden="1" x14ac:dyDescent="0.25">
      <c r="A839" s="14">
        <v>16</v>
      </c>
      <c r="B839" s="14" t="s">
        <v>1811</v>
      </c>
      <c r="C839" s="8" t="s">
        <v>1119</v>
      </c>
      <c r="D839" s="28" t="s">
        <v>2302</v>
      </c>
      <c r="E839" s="12" t="s">
        <v>1497</v>
      </c>
      <c r="F839" s="1"/>
      <c r="G839" s="1">
        <v>291.96300000000002</v>
      </c>
      <c r="H839" s="1">
        <v>8.4350000000000005</v>
      </c>
      <c r="I839" s="12">
        <f t="shared" ref="I839:I844" si="267">H839+G839</f>
        <v>300.39800000000002</v>
      </c>
      <c r="J839" s="12">
        <v>760406.71633000008</v>
      </c>
      <c r="K839" s="12"/>
      <c r="L839" s="12">
        <f t="shared" ref="L839:L844" si="268">J839+K839</f>
        <v>760406.71633000008</v>
      </c>
      <c r="M839" s="12">
        <f t="shared" si="266"/>
        <v>2531.3308222092023</v>
      </c>
      <c r="N839" s="12" t="e">
        <f t="shared" ref="N839:N844" si="269">M839/$M$1431</f>
        <v>#REF!</v>
      </c>
      <c r="O839" s="12" t="e">
        <f t="shared" ref="O839:O844" si="270">ROUND(IF(N839&lt;110%,0,(M839-$M$1431*1.1)*0.8)*I839,1)</f>
        <v>#REF!</v>
      </c>
      <c r="P839" s="12" t="e">
        <f t="shared" ref="P839:P844" si="271">ROUND(IF(N839&gt;90%,0,(-M839+$M$1431*0.9)*0.8)*I839,1)</f>
        <v>#REF!</v>
      </c>
    </row>
    <row r="840" spans="1:16" ht="15.75" hidden="1" x14ac:dyDescent="0.25">
      <c r="A840" s="14">
        <v>16</v>
      </c>
      <c r="B840" s="14" t="s">
        <v>1810</v>
      </c>
      <c r="C840" s="8" t="s">
        <v>1119</v>
      </c>
      <c r="D840" s="28" t="s">
        <v>2303</v>
      </c>
      <c r="E840" s="12" t="s">
        <v>843</v>
      </c>
      <c r="F840" s="1"/>
      <c r="G840" s="1">
        <v>54.493000000000002</v>
      </c>
      <c r="H840" s="1">
        <v>1.06</v>
      </c>
      <c r="I840" s="12">
        <f t="shared" si="267"/>
        <v>55.553000000000004</v>
      </c>
      <c r="J840" s="12">
        <v>160402.59296000001</v>
      </c>
      <c r="K840" s="12"/>
      <c r="L840" s="12">
        <f t="shared" si="268"/>
        <v>160402.59296000001</v>
      </c>
      <c r="M840" s="12">
        <f t="shared" si="266"/>
        <v>2887.3794927366657</v>
      </c>
      <c r="N840" s="12" t="e">
        <f t="shared" si="269"/>
        <v>#REF!</v>
      </c>
      <c r="O840" s="12" t="e">
        <f t="shared" si="270"/>
        <v>#REF!</v>
      </c>
      <c r="P840" s="12" t="e">
        <f t="shared" si="271"/>
        <v>#REF!</v>
      </c>
    </row>
    <row r="841" spans="1:16" ht="15.75" hidden="1" x14ac:dyDescent="0.25">
      <c r="A841" s="14">
        <v>16</v>
      </c>
      <c r="B841" s="14" t="s">
        <v>1850</v>
      </c>
      <c r="C841" s="8" t="s">
        <v>1119</v>
      </c>
      <c r="D841" s="28" t="s">
        <v>2304</v>
      </c>
      <c r="E841" s="12" t="s">
        <v>1498</v>
      </c>
      <c r="F841" s="1"/>
      <c r="G841" s="1">
        <v>222.32499999999999</v>
      </c>
      <c r="H841" s="1">
        <v>3.9710000000000001</v>
      </c>
      <c r="I841" s="12">
        <f t="shared" si="267"/>
        <v>226.29599999999999</v>
      </c>
      <c r="J841" s="12">
        <v>471300.60726999998</v>
      </c>
      <c r="K841" s="12"/>
      <c r="L841" s="12">
        <f t="shared" si="268"/>
        <v>471300.60726999998</v>
      </c>
      <c r="M841" s="12">
        <f t="shared" si="266"/>
        <v>2082.6731681956376</v>
      </c>
      <c r="N841" s="12" t="e">
        <f t="shared" si="269"/>
        <v>#REF!</v>
      </c>
      <c r="O841" s="12" t="e">
        <f t="shared" si="270"/>
        <v>#REF!</v>
      </c>
      <c r="P841" s="12" t="e">
        <f t="shared" si="271"/>
        <v>#REF!</v>
      </c>
    </row>
    <row r="842" spans="1:16" ht="15.75" hidden="1" x14ac:dyDescent="0.25">
      <c r="A842" s="14">
        <v>16</v>
      </c>
      <c r="B842" s="14" t="s">
        <v>1855</v>
      </c>
      <c r="C842" s="8" t="s">
        <v>1119</v>
      </c>
      <c r="D842" s="28" t="s">
        <v>2305</v>
      </c>
      <c r="E842" s="12" t="s">
        <v>1499</v>
      </c>
      <c r="F842" s="1"/>
      <c r="G842" s="1">
        <v>46.161000000000001</v>
      </c>
      <c r="H842" s="1">
        <v>0.84399999999999997</v>
      </c>
      <c r="I842" s="12">
        <f t="shared" si="267"/>
        <v>47.005000000000003</v>
      </c>
      <c r="J842" s="12">
        <v>56404.784189999998</v>
      </c>
      <c r="K842" s="12"/>
      <c r="L842" s="12">
        <f t="shared" si="268"/>
        <v>56404.784189999998</v>
      </c>
      <c r="M842" s="12">
        <f t="shared" si="266"/>
        <v>1199.9741344537815</v>
      </c>
      <c r="N842" s="12" t="e">
        <f t="shared" si="269"/>
        <v>#REF!</v>
      </c>
      <c r="O842" s="12" t="e">
        <f t="shared" si="270"/>
        <v>#REF!</v>
      </c>
      <c r="P842" s="12" t="e">
        <f t="shared" si="271"/>
        <v>#REF!</v>
      </c>
    </row>
    <row r="843" spans="1:16" ht="15.75" hidden="1" x14ac:dyDescent="0.25">
      <c r="A843" s="14">
        <v>16</v>
      </c>
      <c r="B843" s="14" t="s">
        <v>1818</v>
      </c>
      <c r="C843" s="8" t="s">
        <v>1119</v>
      </c>
      <c r="D843" s="28" t="s">
        <v>2306</v>
      </c>
      <c r="E843" s="12" t="s">
        <v>1500</v>
      </c>
      <c r="F843" s="1"/>
      <c r="G843" s="1">
        <v>40.195</v>
      </c>
      <c r="H843" s="1">
        <v>2.0009999999999999</v>
      </c>
      <c r="I843" s="12">
        <f t="shared" si="267"/>
        <v>42.195999999999998</v>
      </c>
      <c r="J843" s="12">
        <v>67033.190310000005</v>
      </c>
      <c r="K843" s="12"/>
      <c r="L843" s="12">
        <f t="shared" si="268"/>
        <v>67033.190310000005</v>
      </c>
      <c r="M843" s="12">
        <f t="shared" si="266"/>
        <v>1588.6148049578162</v>
      </c>
      <c r="N843" s="12" t="e">
        <f t="shared" si="269"/>
        <v>#REF!</v>
      </c>
      <c r="O843" s="12" t="e">
        <f t="shared" si="270"/>
        <v>#REF!</v>
      </c>
      <c r="P843" s="12" t="e">
        <f t="shared" si="271"/>
        <v>#REF!</v>
      </c>
    </row>
    <row r="844" spans="1:16" ht="15.75" hidden="1" x14ac:dyDescent="0.25">
      <c r="A844" s="14">
        <v>16</v>
      </c>
      <c r="B844" s="14" t="s">
        <v>1820</v>
      </c>
      <c r="C844" s="8" t="s">
        <v>1119</v>
      </c>
      <c r="D844" s="28" t="s">
        <v>2307</v>
      </c>
      <c r="E844" s="12" t="s">
        <v>1741</v>
      </c>
      <c r="F844" s="1"/>
      <c r="G844" s="1">
        <v>23.96</v>
      </c>
      <c r="H844" s="1">
        <v>0.35199999999999998</v>
      </c>
      <c r="I844" s="12">
        <f t="shared" si="267"/>
        <v>24.312000000000001</v>
      </c>
      <c r="J844" s="12">
        <v>31841.063910000001</v>
      </c>
      <c r="K844" s="12"/>
      <c r="L844" s="12">
        <f t="shared" si="268"/>
        <v>31841.063910000001</v>
      </c>
      <c r="M844" s="12">
        <f t="shared" si="266"/>
        <v>1309.6850900789734</v>
      </c>
      <c r="N844" s="12" t="e">
        <f t="shared" si="269"/>
        <v>#REF!</v>
      </c>
      <c r="O844" s="12" t="e">
        <f t="shared" si="270"/>
        <v>#REF!</v>
      </c>
      <c r="P844" s="12" t="e">
        <f t="shared" si="271"/>
        <v>#REF!</v>
      </c>
    </row>
    <row r="845" spans="1:16" ht="15.75" hidden="1" x14ac:dyDescent="0.25">
      <c r="A845" s="15">
        <v>16</v>
      </c>
      <c r="B845" s="15" t="s">
        <v>1126</v>
      </c>
      <c r="C845" s="10" t="s">
        <v>1157</v>
      </c>
      <c r="D845" s="29"/>
      <c r="E845" s="37" t="s">
        <v>1158</v>
      </c>
      <c r="F845" s="6"/>
      <c r="G845" s="37">
        <f t="shared" ref="G845:L845" si="272">SUM(G846:G870)</f>
        <v>481.37900000000002</v>
      </c>
      <c r="H845" s="37">
        <f>SUM(H846:H870)</f>
        <v>7.5</v>
      </c>
      <c r="I845" s="37">
        <f t="shared" si="272"/>
        <v>488.87899999999996</v>
      </c>
      <c r="J845" s="37">
        <f t="shared" si="272"/>
        <v>737817.38841999997</v>
      </c>
      <c r="K845" s="37">
        <f t="shared" si="272"/>
        <v>0</v>
      </c>
      <c r="L845" s="37">
        <f t="shared" si="272"/>
        <v>737817.38841999997</v>
      </c>
      <c r="M845" s="37">
        <f t="shared" si="266"/>
        <v>1509.2024579088077</v>
      </c>
      <c r="N845" s="37" t="e">
        <f>M845/$M$1429</f>
        <v>#REF!</v>
      </c>
      <c r="O845" s="37" t="e">
        <f>SUM(O846:O870)</f>
        <v>#REF!</v>
      </c>
      <c r="P845" s="37" t="e">
        <f>SUM(P846:P870)</f>
        <v>#REF!</v>
      </c>
    </row>
    <row r="846" spans="1:16" ht="15.75" hidden="1" x14ac:dyDescent="0.25">
      <c r="A846" s="14">
        <v>16</v>
      </c>
      <c r="B846" s="14" t="s">
        <v>1822</v>
      </c>
      <c r="C846" s="8" t="s">
        <v>1129</v>
      </c>
      <c r="D846" s="28" t="s">
        <v>2308</v>
      </c>
      <c r="E846" s="12" t="s">
        <v>1501</v>
      </c>
      <c r="F846" s="1"/>
      <c r="G846" s="1">
        <v>8.4659999999999993</v>
      </c>
      <c r="H846" s="1">
        <f>(460-78-238-15)/1000</f>
        <v>0.129</v>
      </c>
      <c r="I846" s="12">
        <f t="shared" ref="I846:I870" si="273">H846+G846</f>
        <v>8.5949999999999989</v>
      </c>
      <c r="J846" s="12">
        <f>27830.25817-13488-7445.174</f>
        <v>6897.084170000001</v>
      </c>
      <c r="K846" s="12"/>
      <c r="L846" s="12">
        <f t="shared" ref="L846:L870" si="274">J846+K846</f>
        <v>6897.084170000001</v>
      </c>
      <c r="M846" s="12">
        <f t="shared" si="266"/>
        <v>802.45307388016306</v>
      </c>
      <c r="N846" s="12" t="e">
        <f t="shared" ref="N846:N870" si="275">M846/$M$1432</f>
        <v>#REF!</v>
      </c>
      <c r="O846" s="12" t="e">
        <f t="shared" ref="O846:O870" si="276">ROUND(IF(N846&lt;110%,0,(M846-$M$1432*1.1)*0.8)*I846,1)</f>
        <v>#REF!</v>
      </c>
      <c r="P846" s="12" t="e">
        <f t="shared" ref="P846:P870" si="277">ROUND(IF(N846&gt;90%,0,(-M846+$M$1432*0.9)*0.8)*I846,1)</f>
        <v>#REF!</v>
      </c>
    </row>
    <row r="847" spans="1:16" ht="15.75" hidden="1" x14ac:dyDescent="0.25">
      <c r="A847" s="14">
        <v>16</v>
      </c>
      <c r="B847" s="14" t="s">
        <v>1824</v>
      </c>
      <c r="C847" s="8" t="s">
        <v>1129</v>
      </c>
      <c r="D847" s="28" t="s">
        <v>2309</v>
      </c>
      <c r="E847" s="12" t="s">
        <v>1502</v>
      </c>
      <c r="F847" s="1"/>
      <c r="G847" s="1">
        <v>21.684000000000001</v>
      </c>
      <c r="H847" s="1">
        <f>(1049-49-82-352)/1000</f>
        <v>0.56599999999999995</v>
      </c>
      <c r="I847" s="12">
        <f t="shared" si="273"/>
        <v>22.25</v>
      </c>
      <c r="J847" s="12">
        <f>46947.61906-6095.182</f>
        <v>40852.437059999997</v>
      </c>
      <c r="K847" s="12"/>
      <c r="L847" s="12">
        <f t="shared" si="274"/>
        <v>40852.437059999997</v>
      </c>
      <c r="M847" s="12">
        <f t="shared" si="266"/>
        <v>1836.0645869662919</v>
      </c>
      <c r="N847" s="12" t="e">
        <f t="shared" si="275"/>
        <v>#REF!</v>
      </c>
      <c r="O847" s="12" t="e">
        <f t="shared" si="276"/>
        <v>#REF!</v>
      </c>
      <c r="P847" s="12" t="e">
        <f t="shared" si="277"/>
        <v>#REF!</v>
      </c>
    </row>
    <row r="848" spans="1:16" ht="15.75" hidden="1" x14ac:dyDescent="0.25">
      <c r="A848" s="14">
        <v>16</v>
      </c>
      <c r="B848" s="14" t="s">
        <v>1826</v>
      </c>
      <c r="C848" s="8" t="s">
        <v>1129</v>
      </c>
      <c r="D848" s="28" t="s">
        <v>2310</v>
      </c>
      <c r="E848" s="12" t="s">
        <v>1503</v>
      </c>
      <c r="F848" s="1"/>
      <c r="G848" s="1">
        <v>28.443999999999999</v>
      </c>
      <c r="H848" s="1">
        <f>(434-177)/1000</f>
        <v>0.25700000000000001</v>
      </c>
      <c r="I848" s="12">
        <f t="shared" si="273"/>
        <v>28.701000000000001</v>
      </c>
      <c r="J848" s="12">
        <v>42438.979799999994</v>
      </c>
      <c r="K848" s="12"/>
      <c r="L848" s="12">
        <f t="shared" si="274"/>
        <v>42438.979799999994</v>
      </c>
      <c r="M848" s="12">
        <f t="shared" si="266"/>
        <v>1478.6585763562243</v>
      </c>
      <c r="N848" s="12" t="e">
        <f t="shared" si="275"/>
        <v>#REF!</v>
      </c>
      <c r="O848" s="12" t="e">
        <f t="shared" si="276"/>
        <v>#REF!</v>
      </c>
      <c r="P848" s="12" t="e">
        <f t="shared" si="277"/>
        <v>#REF!</v>
      </c>
    </row>
    <row r="849" spans="1:16" ht="15.75" hidden="1" x14ac:dyDescent="0.25">
      <c r="A849" s="14">
        <v>16</v>
      </c>
      <c r="B849" s="14">
        <v>10</v>
      </c>
      <c r="C849" s="8" t="s">
        <v>1129</v>
      </c>
      <c r="D849" s="28" t="s">
        <v>2311</v>
      </c>
      <c r="E849" s="12" t="s">
        <v>1504</v>
      </c>
      <c r="F849" s="1"/>
      <c r="G849" s="1">
        <v>9.798</v>
      </c>
      <c r="H849" s="1">
        <f>(316-194)/1000</f>
        <v>0.122</v>
      </c>
      <c r="I849" s="12">
        <f t="shared" si="273"/>
        <v>9.92</v>
      </c>
      <c r="J849" s="12">
        <f>41483.96309-30410.488</f>
        <v>11073.475089999996</v>
      </c>
      <c r="K849" s="12"/>
      <c r="L849" s="12">
        <f t="shared" si="274"/>
        <v>11073.475089999996</v>
      </c>
      <c r="M849" s="12">
        <f t="shared" si="266"/>
        <v>1116.2777308467739</v>
      </c>
      <c r="N849" s="12" t="e">
        <f t="shared" si="275"/>
        <v>#REF!</v>
      </c>
      <c r="O849" s="12" t="e">
        <f t="shared" si="276"/>
        <v>#REF!</v>
      </c>
      <c r="P849" s="12" t="e">
        <f t="shared" si="277"/>
        <v>#REF!</v>
      </c>
    </row>
    <row r="850" spans="1:16" ht="15.75" hidden="1" x14ac:dyDescent="0.25">
      <c r="A850" s="14">
        <v>16</v>
      </c>
      <c r="B850" s="14">
        <v>11</v>
      </c>
      <c r="C850" s="8" t="s">
        <v>1129</v>
      </c>
      <c r="D850" s="28" t="s">
        <v>2312</v>
      </c>
      <c r="E850" s="12" t="s">
        <v>1505</v>
      </c>
      <c r="F850" s="1"/>
      <c r="G850" s="1">
        <v>18.837</v>
      </c>
      <c r="H850" s="1">
        <v>0.315</v>
      </c>
      <c r="I850" s="12">
        <f t="shared" si="273"/>
        <v>19.152000000000001</v>
      </c>
      <c r="J850" s="12">
        <v>40649.60527</v>
      </c>
      <c r="K850" s="12"/>
      <c r="L850" s="12">
        <f t="shared" si="274"/>
        <v>40649.60527</v>
      </c>
      <c r="M850" s="12">
        <f t="shared" si="266"/>
        <v>2122.4731239557227</v>
      </c>
      <c r="N850" s="12" t="e">
        <f t="shared" si="275"/>
        <v>#REF!</v>
      </c>
      <c r="O850" s="12" t="e">
        <f t="shared" si="276"/>
        <v>#REF!</v>
      </c>
      <c r="P850" s="12" t="e">
        <f t="shared" si="277"/>
        <v>#REF!</v>
      </c>
    </row>
    <row r="851" spans="1:16" ht="15.75" hidden="1" x14ac:dyDescent="0.25">
      <c r="A851" s="14">
        <v>16</v>
      </c>
      <c r="B851" s="14">
        <v>12</v>
      </c>
      <c r="C851" s="8" t="s">
        <v>1129</v>
      </c>
      <c r="D851" s="28" t="s">
        <v>2313</v>
      </c>
      <c r="E851" s="12" t="s">
        <v>1506</v>
      </c>
      <c r="F851" s="1"/>
      <c r="G851" s="1">
        <v>34.302</v>
      </c>
      <c r="H851" s="1">
        <v>0.41299999999999998</v>
      </c>
      <c r="I851" s="12">
        <f t="shared" si="273"/>
        <v>34.714999999999996</v>
      </c>
      <c r="J851" s="12">
        <v>61640.560060000003</v>
      </c>
      <c r="K851" s="12"/>
      <c r="L851" s="12">
        <f t="shared" si="274"/>
        <v>61640.560060000003</v>
      </c>
      <c r="M851" s="12">
        <f t="shared" si="266"/>
        <v>1775.6174581592975</v>
      </c>
      <c r="N851" s="12" t="e">
        <f t="shared" si="275"/>
        <v>#REF!</v>
      </c>
      <c r="O851" s="12" t="e">
        <f t="shared" si="276"/>
        <v>#REF!</v>
      </c>
      <c r="P851" s="12" t="e">
        <f t="shared" si="277"/>
        <v>#REF!</v>
      </c>
    </row>
    <row r="852" spans="1:16" ht="15.75" hidden="1" x14ac:dyDescent="0.25">
      <c r="A852" s="14">
        <v>16</v>
      </c>
      <c r="B852" s="14">
        <v>13</v>
      </c>
      <c r="C852" s="8" t="s">
        <v>1129</v>
      </c>
      <c r="D852" s="28" t="s">
        <v>2314</v>
      </c>
      <c r="E852" s="12" t="s">
        <v>1507</v>
      </c>
      <c r="F852" s="1"/>
      <c r="G852" s="1">
        <v>29.914999999999999</v>
      </c>
      <c r="H852" s="1">
        <f>(651-61)/1000</f>
        <v>0.59</v>
      </c>
      <c r="I852" s="12">
        <f t="shared" si="273"/>
        <v>30.504999999999999</v>
      </c>
      <c r="J852" s="12">
        <f>50311.48368-6973.2</f>
        <v>43338.28368</v>
      </c>
      <c r="K852" s="12"/>
      <c r="L852" s="12">
        <f t="shared" si="274"/>
        <v>43338.28368</v>
      </c>
      <c r="M852" s="12">
        <f t="shared" si="266"/>
        <v>1420.6944330437634</v>
      </c>
      <c r="N852" s="12" t="e">
        <f t="shared" si="275"/>
        <v>#REF!</v>
      </c>
      <c r="O852" s="12" t="e">
        <f t="shared" si="276"/>
        <v>#REF!</v>
      </c>
      <c r="P852" s="12" t="e">
        <f t="shared" si="277"/>
        <v>#REF!</v>
      </c>
    </row>
    <row r="853" spans="1:16" ht="15.75" hidden="1" x14ac:dyDescent="0.25">
      <c r="A853" s="14">
        <v>16</v>
      </c>
      <c r="B853" s="14">
        <v>14</v>
      </c>
      <c r="C853" s="8" t="s">
        <v>1129</v>
      </c>
      <c r="D853" s="28" t="s">
        <v>2315</v>
      </c>
      <c r="E853" s="12" t="s">
        <v>1508</v>
      </c>
      <c r="F853" s="1"/>
      <c r="G853" s="1">
        <v>38.119</v>
      </c>
      <c r="H853" s="1">
        <f>(684-62)/1000</f>
        <v>0.622</v>
      </c>
      <c r="I853" s="12">
        <f t="shared" si="273"/>
        <v>38.741</v>
      </c>
      <c r="J853" s="12">
        <f>55032.69944-5506.315</f>
        <v>49526.384439999994</v>
      </c>
      <c r="K853" s="12"/>
      <c r="L853" s="12">
        <f t="shared" si="274"/>
        <v>49526.384439999994</v>
      </c>
      <c r="M853" s="12">
        <f t="shared" si="266"/>
        <v>1278.3971616633539</v>
      </c>
      <c r="N853" s="12" t="e">
        <f t="shared" si="275"/>
        <v>#REF!</v>
      </c>
      <c r="O853" s="12" t="e">
        <f t="shared" si="276"/>
        <v>#REF!</v>
      </c>
      <c r="P853" s="12" t="e">
        <f t="shared" si="277"/>
        <v>#REF!</v>
      </c>
    </row>
    <row r="854" spans="1:16" ht="15.75" hidden="1" x14ac:dyDescent="0.25">
      <c r="A854" s="14">
        <v>16</v>
      </c>
      <c r="B854" s="14">
        <v>15</v>
      </c>
      <c r="C854" s="8" t="s">
        <v>1129</v>
      </c>
      <c r="D854" s="28" t="s">
        <v>2316</v>
      </c>
      <c r="E854" s="12" t="s">
        <v>1509</v>
      </c>
      <c r="F854" s="1"/>
      <c r="G854" s="1">
        <v>5.8730000000000002</v>
      </c>
      <c r="H854" s="1">
        <f>(107-37-35)/1000</f>
        <v>3.5000000000000003E-2</v>
      </c>
      <c r="I854" s="12">
        <f t="shared" si="273"/>
        <v>5.9080000000000004</v>
      </c>
      <c r="J854" s="12">
        <f>25638.48224-1051.6-15485.62</f>
        <v>9101.2622400000018</v>
      </c>
      <c r="K854" s="12"/>
      <c r="L854" s="12">
        <f t="shared" si="274"/>
        <v>9101.2622400000018</v>
      </c>
      <c r="M854" s="12">
        <f t="shared" si="266"/>
        <v>1540.4980094786731</v>
      </c>
      <c r="N854" s="12" t="e">
        <f t="shared" si="275"/>
        <v>#REF!</v>
      </c>
      <c r="O854" s="12" t="e">
        <f t="shared" si="276"/>
        <v>#REF!</v>
      </c>
      <c r="P854" s="12" t="e">
        <f t="shared" si="277"/>
        <v>#REF!</v>
      </c>
    </row>
    <row r="855" spans="1:16" ht="15.75" hidden="1" x14ac:dyDescent="0.25">
      <c r="A855" s="14">
        <v>16</v>
      </c>
      <c r="B855" s="14">
        <v>17</v>
      </c>
      <c r="C855" s="8" t="s">
        <v>1129</v>
      </c>
      <c r="D855" s="28" t="s">
        <v>2317</v>
      </c>
      <c r="E855" s="12" t="s">
        <v>1511</v>
      </c>
      <c r="F855" s="1"/>
      <c r="G855" s="1">
        <v>17.157</v>
      </c>
      <c r="H855" s="1">
        <f>(378-51-2-37-47-67-27)/1000</f>
        <v>0.14699999999999999</v>
      </c>
      <c r="I855" s="12">
        <f t="shared" si="273"/>
        <v>17.303999999999998</v>
      </c>
      <c r="J855" s="12">
        <f>7884.96076-766.645</f>
        <v>7118.3157599999995</v>
      </c>
      <c r="K855" s="12"/>
      <c r="L855" s="12">
        <f t="shared" si="274"/>
        <v>7118.3157599999995</v>
      </c>
      <c r="M855" s="12">
        <f t="shared" si="266"/>
        <v>411.36822468793343</v>
      </c>
      <c r="N855" s="12" t="e">
        <f t="shared" si="275"/>
        <v>#REF!</v>
      </c>
      <c r="O855" s="12" t="e">
        <f t="shared" si="276"/>
        <v>#REF!</v>
      </c>
      <c r="P855" s="12" t="e">
        <f t="shared" si="277"/>
        <v>#REF!</v>
      </c>
    </row>
    <row r="856" spans="1:16" ht="15.75" hidden="1" x14ac:dyDescent="0.25">
      <c r="A856" s="14">
        <v>16</v>
      </c>
      <c r="B856" s="14">
        <v>18</v>
      </c>
      <c r="C856" s="8" t="s">
        <v>1129</v>
      </c>
      <c r="D856" s="28" t="s">
        <v>2318</v>
      </c>
      <c r="E856" s="12" t="s">
        <v>1512</v>
      </c>
      <c r="F856" s="1"/>
      <c r="G856" s="1">
        <v>27.242000000000001</v>
      </c>
      <c r="H856" s="1">
        <f>(511-187-15)/1000</f>
        <v>0.309</v>
      </c>
      <c r="I856" s="12">
        <f t="shared" si="273"/>
        <v>27.551000000000002</v>
      </c>
      <c r="J856" s="12">
        <f>77273.44201-10421.67-33158.285</f>
        <v>33693.487009999997</v>
      </c>
      <c r="K856" s="12"/>
      <c r="L856" s="12">
        <f t="shared" si="274"/>
        <v>33693.487009999997</v>
      </c>
      <c r="M856" s="12">
        <f t="shared" si="266"/>
        <v>1222.9496936590322</v>
      </c>
      <c r="N856" s="12" t="e">
        <f t="shared" si="275"/>
        <v>#REF!</v>
      </c>
      <c r="O856" s="12" t="e">
        <f t="shared" si="276"/>
        <v>#REF!</v>
      </c>
      <c r="P856" s="12" t="e">
        <f t="shared" si="277"/>
        <v>#REF!</v>
      </c>
    </row>
    <row r="857" spans="1:16" ht="15.75" hidden="1" x14ac:dyDescent="0.25">
      <c r="A857" s="14">
        <v>16</v>
      </c>
      <c r="B857" s="14">
        <v>19</v>
      </c>
      <c r="C857" s="8" t="s">
        <v>1129</v>
      </c>
      <c r="D857" s="28" t="s">
        <v>2319</v>
      </c>
      <c r="E857" s="12" t="s">
        <v>1513</v>
      </c>
      <c r="F857" s="1"/>
      <c r="G857" s="1">
        <v>14.196</v>
      </c>
      <c r="H857" s="1">
        <f>(334-158-5)/1000</f>
        <v>0.17100000000000001</v>
      </c>
      <c r="I857" s="12">
        <f t="shared" si="273"/>
        <v>14.366999999999999</v>
      </c>
      <c r="J857" s="12">
        <f>15848.0648-597.205</f>
        <v>15250.8598</v>
      </c>
      <c r="K857" s="12"/>
      <c r="L857" s="12">
        <f t="shared" si="274"/>
        <v>15250.8598</v>
      </c>
      <c r="M857" s="12">
        <f t="shared" si="266"/>
        <v>1061.5201364237489</v>
      </c>
      <c r="N857" s="12" t="e">
        <f t="shared" si="275"/>
        <v>#REF!</v>
      </c>
      <c r="O857" s="12" t="e">
        <f t="shared" si="276"/>
        <v>#REF!</v>
      </c>
      <c r="P857" s="12" t="e">
        <f t="shared" si="277"/>
        <v>#REF!</v>
      </c>
    </row>
    <row r="858" spans="1:16" ht="15.75" hidden="1" x14ac:dyDescent="0.25">
      <c r="A858" s="14">
        <v>16</v>
      </c>
      <c r="B858" s="14">
        <v>20</v>
      </c>
      <c r="C858" s="8" t="s">
        <v>1129</v>
      </c>
      <c r="D858" s="28" t="s">
        <v>2320</v>
      </c>
      <c r="E858" s="12" t="s">
        <v>1514</v>
      </c>
      <c r="F858" s="1"/>
      <c r="G858" s="1">
        <v>5.5940000000000003</v>
      </c>
      <c r="H858" s="1">
        <f>(157-71-39)/1000</f>
        <v>4.7E-2</v>
      </c>
      <c r="I858" s="12">
        <f t="shared" si="273"/>
        <v>5.641</v>
      </c>
      <c r="J858" s="12">
        <f>70172.52527-24629.8-23311.016</f>
        <v>22231.709269999996</v>
      </c>
      <c r="K858" s="12"/>
      <c r="L858" s="12">
        <f t="shared" si="274"/>
        <v>22231.709269999996</v>
      </c>
      <c r="M858" s="12">
        <f t="shared" si="266"/>
        <v>3941.0936482893098</v>
      </c>
      <c r="N858" s="12" t="e">
        <f t="shared" si="275"/>
        <v>#REF!</v>
      </c>
      <c r="O858" s="12" t="e">
        <f t="shared" si="276"/>
        <v>#REF!</v>
      </c>
      <c r="P858" s="12" t="e">
        <f t="shared" si="277"/>
        <v>#REF!</v>
      </c>
    </row>
    <row r="859" spans="1:16" ht="15.75" hidden="1" x14ac:dyDescent="0.25">
      <c r="A859" s="14">
        <v>16</v>
      </c>
      <c r="B859" s="14">
        <v>21</v>
      </c>
      <c r="C859" s="8" t="s">
        <v>1129</v>
      </c>
      <c r="D859" s="28" t="s">
        <v>2321</v>
      </c>
      <c r="E859" s="12" t="s">
        <v>1515</v>
      </c>
      <c r="F859" s="1"/>
      <c r="G859" s="1">
        <v>27.696999999999999</v>
      </c>
      <c r="H859" s="1">
        <f>(1256-146)/1000</f>
        <v>1.1100000000000001</v>
      </c>
      <c r="I859" s="12">
        <f t="shared" si="273"/>
        <v>28.806999999999999</v>
      </c>
      <c r="J859" s="12">
        <v>66384.499689999997</v>
      </c>
      <c r="K859" s="12"/>
      <c r="L859" s="12">
        <f t="shared" si="274"/>
        <v>66384.499689999997</v>
      </c>
      <c r="M859" s="12">
        <f t="shared" si="266"/>
        <v>2304.4572392126915</v>
      </c>
      <c r="N859" s="12" t="e">
        <f t="shared" si="275"/>
        <v>#REF!</v>
      </c>
      <c r="O859" s="12" t="e">
        <f t="shared" si="276"/>
        <v>#REF!</v>
      </c>
      <c r="P859" s="12" t="e">
        <f t="shared" si="277"/>
        <v>#REF!</v>
      </c>
    </row>
    <row r="860" spans="1:16" ht="15.75" hidden="1" x14ac:dyDescent="0.25">
      <c r="A860" s="14">
        <v>16</v>
      </c>
      <c r="B860" s="14">
        <v>22</v>
      </c>
      <c r="C860" s="8" t="s">
        <v>1129</v>
      </c>
      <c r="D860" s="28" t="s">
        <v>2322</v>
      </c>
      <c r="E860" s="12" t="s">
        <v>1516</v>
      </c>
      <c r="F860" s="1"/>
      <c r="G860" s="1">
        <v>6.1180000000000003</v>
      </c>
      <c r="H860" s="1">
        <f>(625-55-62-2-53-324-67)/1000</f>
        <v>6.2E-2</v>
      </c>
      <c r="I860" s="12">
        <f t="shared" si="273"/>
        <v>6.1800000000000006</v>
      </c>
      <c r="J860" s="12">
        <f>71535.74802-22482.228-5012.392-18238.131-7205.569-9640.714-514.026-1221.678</f>
        <v>7221.0100199999961</v>
      </c>
      <c r="K860" s="12"/>
      <c r="L860" s="12">
        <f t="shared" si="274"/>
        <v>7221.0100199999961</v>
      </c>
      <c r="M860" s="12">
        <f t="shared" si="266"/>
        <v>1168.4482233009701</v>
      </c>
      <c r="N860" s="12" t="e">
        <f t="shared" si="275"/>
        <v>#REF!</v>
      </c>
      <c r="O860" s="12" t="e">
        <f t="shared" si="276"/>
        <v>#REF!</v>
      </c>
      <c r="P860" s="12" t="e">
        <f t="shared" si="277"/>
        <v>#REF!</v>
      </c>
    </row>
    <row r="861" spans="1:16" ht="15.75" hidden="1" x14ac:dyDescent="0.25">
      <c r="A861" s="14">
        <v>16</v>
      </c>
      <c r="B861" s="14">
        <v>23</v>
      </c>
      <c r="C861" s="8" t="s">
        <v>1129</v>
      </c>
      <c r="D861" s="28" t="s">
        <v>2323</v>
      </c>
      <c r="E861" s="12" t="s">
        <v>1517</v>
      </c>
      <c r="F861" s="1"/>
      <c r="G861" s="1">
        <v>23.885999999999999</v>
      </c>
      <c r="H861" s="1">
        <v>0.35299999999999998</v>
      </c>
      <c r="I861" s="12">
        <f t="shared" si="273"/>
        <v>24.239000000000001</v>
      </c>
      <c r="J861" s="12">
        <v>38526.189989999999</v>
      </c>
      <c r="K861" s="12"/>
      <c r="L861" s="12">
        <f t="shared" si="274"/>
        <v>38526.189989999999</v>
      </c>
      <c r="M861" s="12">
        <f t="shared" si="266"/>
        <v>1589.4298440529724</v>
      </c>
      <c r="N861" s="12" t="e">
        <f t="shared" si="275"/>
        <v>#REF!</v>
      </c>
      <c r="O861" s="12" t="e">
        <f t="shared" si="276"/>
        <v>#REF!</v>
      </c>
      <c r="P861" s="12" t="e">
        <f t="shared" si="277"/>
        <v>#REF!</v>
      </c>
    </row>
    <row r="862" spans="1:16" ht="15.75" hidden="1" x14ac:dyDescent="0.25">
      <c r="A862" s="14">
        <v>16</v>
      </c>
      <c r="B862" s="14">
        <v>24</v>
      </c>
      <c r="C862" s="8" t="s">
        <v>1129</v>
      </c>
      <c r="D862" s="28" t="s">
        <v>2324</v>
      </c>
      <c r="E862" s="12" t="s">
        <v>1518</v>
      </c>
      <c r="F862" s="1"/>
      <c r="G862" s="1">
        <v>14.282</v>
      </c>
      <c r="H862" s="1">
        <f>(597-352)/1000</f>
        <v>0.245</v>
      </c>
      <c r="I862" s="12">
        <f t="shared" si="273"/>
        <v>14.526999999999999</v>
      </c>
      <c r="J862" s="12">
        <v>18642.84562</v>
      </c>
      <c r="K862" s="12"/>
      <c r="L862" s="12">
        <f t="shared" si="274"/>
        <v>18642.84562</v>
      </c>
      <c r="M862" s="12">
        <f t="shared" si="266"/>
        <v>1283.3238535141461</v>
      </c>
      <c r="N862" s="12" t="e">
        <f t="shared" si="275"/>
        <v>#REF!</v>
      </c>
      <c r="O862" s="12" t="e">
        <f t="shared" si="276"/>
        <v>#REF!</v>
      </c>
      <c r="P862" s="12" t="e">
        <f t="shared" si="277"/>
        <v>#REF!</v>
      </c>
    </row>
    <row r="863" spans="1:16" ht="15.75" hidden="1" x14ac:dyDescent="0.25">
      <c r="A863" s="14">
        <v>16</v>
      </c>
      <c r="B863" s="14">
        <v>25</v>
      </c>
      <c r="C863" s="8" t="s">
        <v>1129</v>
      </c>
      <c r="D863" s="28" t="s">
        <v>2325</v>
      </c>
      <c r="E863" s="12" t="s">
        <v>1519</v>
      </c>
      <c r="F863" s="1"/>
      <c r="G863" s="1">
        <v>44.673000000000002</v>
      </c>
      <c r="H863" s="1">
        <f>(1019-56-64-307)/1000</f>
        <v>0.59199999999999997</v>
      </c>
      <c r="I863" s="12">
        <f t="shared" si="273"/>
        <v>45.265000000000001</v>
      </c>
      <c r="J863" s="12">
        <f>68936.7343-15594-1309.5-9327.7</f>
        <v>42705.534299999999</v>
      </c>
      <c r="K863" s="12"/>
      <c r="L863" s="12">
        <f t="shared" si="274"/>
        <v>42705.534299999999</v>
      </c>
      <c r="M863" s="12">
        <f t="shared" si="266"/>
        <v>943.4559659781288</v>
      </c>
      <c r="N863" s="12" t="e">
        <f t="shared" si="275"/>
        <v>#REF!</v>
      </c>
      <c r="O863" s="12" t="e">
        <f t="shared" si="276"/>
        <v>#REF!</v>
      </c>
      <c r="P863" s="12" t="e">
        <f t="shared" si="277"/>
        <v>#REF!</v>
      </c>
    </row>
    <row r="864" spans="1:16" ht="15.75" hidden="1" x14ac:dyDescent="0.25">
      <c r="A864" s="14">
        <v>16</v>
      </c>
      <c r="B864" s="14">
        <v>26</v>
      </c>
      <c r="C864" s="8" t="s">
        <v>1129</v>
      </c>
      <c r="D864" s="28" t="s">
        <v>2326</v>
      </c>
      <c r="E864" s="12" t="s">
        <v>1520</v>
      </c>
      <c r="F864" s="1"/>
      <c r="G864" s="1">
        <v>14.292</v>
      </c>
      <c r="H864" s="1">
        <f>(514-8-254)/1000</f>
        <v>0.252</v>
      </c>
      <c r="I864" s="12">
        <f t="shared" si="273"/>
        <v>14.544</v>
      </c>
      <c r="J864" s="12">
        <f>20818.41557-1377.238</f>
        <v>19441.17757</v>
      </c>
      <c r="K864" s="12"/>
      <c r="L864" s="12">
        <f t="shared" si="274"/>
        <v>19441.17757</v>
      </c>
      <c r="M864" s="12">
        <f t="shared" si="266"/>
        <v>1336.7146294004399</v>
      </c>
      <c r="N864" s="12" t="e">
        <f t="shared" si="275"/>
        <v>#REF!</v>
      </c>
      <c r="O864" s="12" t="e">
        <f t="shared" si="276"/>
        <v>#REF!</v>
      </c>
      <c r="P864" s="12" t="e">
        <f t="shared" si="277"/>
        <v>#REF!</v>
      </c>
    </row>
    <row r="865" spans="1:16" ht="15.75" hidden="1" x14ac:dyDescent="0.25">
      <c r="A865" s="14">
        <v>16</v>
      </c>
      <c r="B865" s="14">
        <v>27</v>
      </c>
      <c r="C865" s="8" t="s">
        <v>1129</v>
      </c>
      <c r="D865" s="28" t="s">
        <v>2327</v>
      </c>
      <c r="E865" s="12" t="s">
        <v>1521</v>
      </c>
      <c r="F865" s="1"/>
      <c r="G865" s="1">
        <v>11.305</v>
      </c>
      <c r="H865" s="1">
        <f>(214-8-101)/1000</f>
        <v>0.105</v>
      </c>
      <c r="I865" s="12">
        <f t="shared" si="273"/>
        <v>11.41</v>
      </c>
      <c r="J865" s="12">
        <f>28492.82043-3150.921</f>
        <v>25341.899430000001</v>
      </c>
      <c r="K865" s="12"/>
      <c r="L865" s="12">
        <f t="shared" si="274"/>
        <v>25341.899430000001</v>
      </c>
      <c r="M865" s="12">
        <f t="shared" si="266"/>
        <v>2221.0253663453113</v>
      </c>
      <c r="N865" s="12" t="e">
        <f t="shared" si="275"/>
        <v>#REF!</v>
      </c>
      <c r="O865" s="12" t="e">
        <f t="shared" si="276"/>
        <v>#REF!</v>
      </c>
      <c r="P865" s="12" t="e">
        <f t="shared" si="277"/>
        <v>#REF!</v>
      </c>
    </row>
    <row r="866" spans="1:16" ht="15.75" hidden="1" x14ac:dyDescent="0.25">
      <c r="A866" s="14">
        <v>16</v>
      </c>
      <c r="B866" s="14">
        <v>28</v>
      </c>
      <c r="C866" s="8" t="s">
        <v>1129</v>
      </c>
      <c r="D866" s="28" t="s">
        <v>2328</v>
      </c>
      <c r="E866" s="12" t="s">
        <v>1522</v>
      </c>
      <c r="F866" s="1"/>
      <c r="G866" s="1">
        <v>26.073</v>
      </c>
      <c r="H866" s="1">
        <f>(369-33-45-28)/1000</f>
        <v>0.26300000000000001</v>
      </c>
      <c r="I866" s="12">
        <f t="shared" si="273"/>
        <v>26.336000000000002</v>
      </c>
      <c r="J866" s="12">
        <v>46324.390590000003</v>
      </c>
      <c r="K866" s="12"/>
      <c r="L866" s="12">
        <f t="shared" si="274"/>
        <v>46324.390590000003</v>
      </c>
      <c r="M866" s="12">
        <f t="shared" si="266"/>
        <v>1758.9759488912514</v>
      </c>
      <c r="N866" s="12" t="e">
        <f t="shared" si="275"/>
        <v>#REF!</v>
      </c>
      <c r="O866" s="12" t="e">
        <f t="shared" si="276"/>
        <v>#REF!</v>
      </c>
      <c r="P866" s="12" t="e">
        <f t="shared" si="277"/>
        <v>#REF!</v>
      </c>
    </row>
    <row r="867" spans="1:16" ht="15.75" hidden="1" x14ac:dyDescent="0.25">
      <c r="A867" s="14">
        <v>16</v>
      </c>
      <c r="B867" s="14">
        <v>29</v>
      </c>
      <c r="C867" s="8" t="s">
        <v>1129</v>
      </c>
      <c r="D867" s="28" t="s">
        <v>2329</v>
      </c>
      <c r="E867" s="12" t="s">
        <v>1523</v>
      </c>
      <c r="F867" s="1"/>
      <c r="G867" s="1">
        <v>11.214</v>
      </c>
      <c r="H867" s="1">
        <v>0.13800000000000001</v>
      </c>
      <c r="I867" s="12">
        <f t="shared" si="273"/>
        <v>11.352</v>
      </c>
      <c r="J867" s="12">
        <v>18889.319640000002</v>
      </c>
      <c r="K867" s="12"/>
      <c r="L867" s="12">
        <f t="shared" si="274"/>
        <v>18889.319640000002</v>
      </c>
      <c r="M867" s="12">
        <f t="shared" si="266"/>
        <v>1663.9640274841438</v>
      </c>
      <c r="N867" s="12" t="e">
        <f t="shared" si="275"/>
        <v>#REF!</v>
      </c>
      <c r="O867" s="12" t="e">
        <f t="shared" si="276"/>
        <v>#REF!</v>
      </c>
      <c r="P867" s="12" t="e">
        <f t="shared" si="277"/>
        <v>#REF!</v>
      </c>
    </row>
    <row r="868" spans="1:16" ht="15.75" hidden="1" x14ac:dyDescent="0.25">
      <c r="A868" s="14">
        <v>16</v>
      </c>
      <c r="B868" s="14">
        <v>30</v>
      </c>
      <c r="C868" s="8" t="s">
        <v>1129</v>
      </c>
      <c r="D868" s="28" t="s">
        <v>2330</v>
      </c>
      <c r="E868" s="12" t="s">
        <v>1524</v>
      </c>
      <c r="F868" s="1"/>
      <c r="G868" s="1">
        <v>17.427</v>
      </c>
      <c r="H868" s="1">
        <f>(383-146)/1000</f>
        <v>0.23699999999999999</v>
      </c>
      <c r="I868" s="12">
        <f t="shared" si="273"/>
        <v>17.663999999999998</v>
      </c>
      <c r="J868" s="12">
        <v>24586.482</v>
      </c>
      <c r="K868" s="12"/>
      <c r="L868" s="12">
        <f t="shared" si="274"/>
        <v>24586.482</v>
      </c>
      <c r="M868" s="12">
        <f t="shared" si="266"/>
        <v>1391.897758152174</v>
      </c>
      <c r="N868" s="12" t="e">
        <f t="shared" si="275"/>
        <v>#REF!</v>
      </c>
      <c r="O868" s="12" t="e">
        <f t="shared" si="276"/>
        <v>#REF!</v>
      </c>
      <c r="P868" s="12" t="e">
        <f t="shared" si="277"/>
        <v>#REF!</v>
      </c>
    </row>
    <row r="869" spans="1:16" ht="15.75" hidden="1" x14ac:dyDescent="0.25">
      <c r="A869" s="14">
        <v>16</v>
      </c>
      <c r="B869" s="14">
        <v>31</v>
      </c>
      <c r="C869" s="8" t="s">
        <v>1129</v>
      </c>
      <c r="D869" s="28" t="s">
        <v>2331</v>
      </c>
      <c r="E869" s="12" t="s">
        <v>1525</v>
      </c>
      <c r="F869" s="1"/>
      <c r="G869" s="1">
        <v>5.23</v>
      </c>
      <c r="H869" s="1">
        <f>(293-213)/1000</f>
        <v>0.08</v>
      </c>
      <c r="I869" s="12">
        <f t="shared" si="273"/>
        <v>5.3100000000000005</v>
      </c>
      <c r="J869" s="12">
        <v>14451.79456</v>
      </c>
      <c r="K869" s="12"/>
      <c r="L869" s="12">
        <f t="shared" si="274"/>
        <v>14451.79456</v>
      </c>
      <c r="M869" s="12">
        <f t="shared" si="266"/>
        <v>2721.6185612052727</v>
      </c>
      <c r="N869" s="12" t="e">
        <f t="shared" si="275"/>
        <v>#REF!</v>
      </c>
      <c r="O869" s="12" t="e">
        <f t="shared" si="276"/>
        <v>#REF!</v>
      </c>
      <c r="P869" s="12" t="e">
        <f t="shared" si="277"/>
        <v>#REF!</v>
      </c>
    </row>
    <row r="870" spans="1:16" ht="15.75" hidden="1" x14ac:dyDescent="0.25">
      <c r="A870" s="14">
        <v>16</v>
      </c>
      <c r="B870" s="14">
        <v>16</v>
      </c>
      <c r="C870" s="8" t="s">
        <v>1129</v>
      </c>
      <c r="D870" s="28" t="s">
        <v>2332</v>
      </c>
      <c r="E870" s="12" t="s">
        <v>1510</v>
      </c>
      <c r="F870" s="1"/>
      <c r="G870" s="1">
        <v>19.555</v>
      </c>
      <c r="H870" s="1">
        <v>0.34</v>
      </c>
      <c r="I870" s="12">
        <f t="shared" si="273"/>
        <v>19.895</v>
      </c>
      <c r="J870" s="12">
        <v>31489.801359999998</v>
      </c>
      <c r="K870" s="12"/>
      <c r="L870" s="12">
        <f t="shared" si="274"/>
        <v>31489.801359999998</v>
      </c>
      <c r="M870" s="12">
        <f t="shared" si="266"/>
        <v>1582.7997667755717</v>
      </c>
      <c r="N870" s="12" t="e">
        <f t="shared" si="275"/>
        <v>#REF!</v>
      </c>
      <c r="O870" s="12" t="e">
        <f t="shared" si="276"/>
        <v>#REF!</v>
      </c>
      <c r="P870" s="12" t="e">
        <f t="shared" si="277"/>
        <v>#REF!</v>
      </c>
    </row>
    <row r="871" spans="1:16" ht="15.75" hidden="1" x14ac:dyDescent="0.25">
      <c r="A871" s="15">
        <v>16</v>
      </c>
      <c r="B871" s="15" t="s">
        <v>1126</v>
      </c>
      <c r="C871" s="10" t="s">
        <v>1743</v>
      </c>
      <c r="D871" s="29"/>
      <c r="E871" s="37" t="s">
        <v>1747</v>
      </c>
      <c r="F871" s="6"/>
      <c r="G871" s="37">
        <f t="shared" ref="G871:L871" si="278">SUM(G872:G910)</f>
        <v>266.35200000000003</v>
      </c>
      <c r="H871" s="37">
        <f>SUM(H872:H910)</f>
        <v>4.0579999999999998</v>
      </c>
      <c r="I871" s="37">
        <f t="shared" si="278"/>
        <v>270.41000000000008</v>
      </c>
      <c r="J871" s="37">
        <f t="shared" si="278"/>
        <v>495781.4221599999</v>
      </c>
      <c r="K871" s="37">
        <f t="shared" si="278"/>
        <v>0</v>
      </c>
      <c r="L871" s="37">
        <f t="shared" si="278"/>
        <v>495781.4221599999</v>
      </c>
      <c r="M871" s="37">
        <f t="shared" si="266"/>
        <v>1833.4433717687946</v>
      </c>
      <c r="N871" s="37" t="e">
        <f>M871/$M$1429</f>
        <v>#REF!</v>
      </c>
      <c r="O871" s="37" t="e">
        <f>SUM(O872:O910)</f>
        <v>#REF!</v>
      </c>
      <c r="P871" s="37" t="e">
        <f>SUM(P872:P910)</f>
        <v>#REF!</v>
      </c>
    </row>
    <row r="872" spans="1:16" ht="15.75" hidden="1" x14ac:dyDescent="0.25">
      <c r="A872" s="14">
        <v>16</v>
      </c>
      <c r="B872" s="14">
        <v>33</v>
      </c>
      <c r="C872" s="8" t="s">
        <v>1744</v>
      </c>
      <c r="D872" s="28" t="s">
        <v>2333</v>
      </c>
      <c r="E872" s="12" t="s">
        <v>1773</v>
      </c>
      <c r="F872" s="1"/>
      <c r="G872" s="1">
        <v>3.7250000000000001</v>
      </c>
      <c r="H872" s="1">
        <v>7.8E-2</v>
      </c>
      <c r="I872" s="12">
        <f t="shared" ref="I872:I910" si="279">H872+G872</f>
        <v>3.8029999999999999</v>
      </c>
      <c r="J872" s="12">
        <v>12403.762419999999</v>
      </c>
      <c r="K872" s="12"/>
      <c r="L872" s="12">
        <f t="shared" ref="L872:L903" si="280">J872+K872</f>
        <v>12403.762419999999</v>
      </c>
      <c r="M872" s="12">
        <f t="shared" si="266"/>
        <v>3261.573079148041</v>
      </c>
      <c r="N872" s="12" t="e">
        <f t="shared" ref="N872:N910" si="281">M872/$M$1433</f>
        <v>#REF!</v>
      </c>
      <c r="O872" s="12" t="e">
        <f t="shared" ref="O872:O910" si="282">ROUND(IF(N872&lt;110%,0,(M872-$M$1433*1.1)*0.8)*I872,1)</f>
        <v>#REF!</v>
      </c>
      <c r="P872" s="12" t="e">
        <f t="shared" ref="P872:P910" si="283">ROUND(IF(N872&gt;90%,0,(-M872+$M$1433*0.9)*0.8)*I872,1)</f>
        <v>#REF!</v>
      </c>
    </row>
    <row r="873" spans="1:16" ht="15.75" hidden="1" x14ac:dyDescent="0.25">
      <c r="A873" s="14">
        <v>16</v>
      </c>
      <c r="B873" s="14">
        <v>34</v>
      </c>
      <c r="C873" s="8" t="s">
        <v>1744</v>
      </c>
      <c r="D873" s="28" t="s">
        <v>2334</v>
      </c>
      <c r="E873" s="12" t="s">
        <v>1774</v>
      </c>
      <c r="F873" s="1"/>
      <c r="G873" s="1">
        <v>14.935</v>
      </c>
      <c r="H873" s="1">
        <v>0.17699999999999999</v>
      </c>
      <c r="I873" s="12">
        <f t="shared" si="279"/>
        <v>15.112</v>
      </c>
      <c r="J873" s="12">
        <v>52086.877899999999</v>
      </c>
      <c r="K873" s="12"/>
      <c r="L873" s="12">
        <f t="shared" si="280"/>
        <v>52086.877899999999</v>
      </c>
      <c r="M873" s="12">
        <f t="shared" si="266"/>
        <v>3446.722994970884</v>
      </c>
      <c r="N873" s="12" t="e">
        <f t="shared" si="281"/>
        <v>#REF!</v>
      </c>
      <c r="O873" s="12" t="e">
        <f t="shared" si="282"/>
        <v>#REF!</v>
      </c>
      <c r="P873" s="12" t="e">
        <f t="shared" si="283"/>
        <v>#REF!</v>
      </c>
    </row>
    <row r="874" spans="1:16" ht="15.75" hidden="1" x14ac:dyDescent="0.25">
      <c r="A874" s="14">
        <v>16</v>
      </c>
      <c r="B874" s="14">
        <v>35</v>
      </c>
      <c r="C874" s="8" t="s">
        <v>1744</v>
      </c>
      <c r="D874" s="28" t="s">
        <v>2335</v>
      </c>
      <c r="E874" s="12" t="s">
        <v>1775</v>
      </c>
      <c r="F874" s="1"/>
      <c r="G874" s="1">
        <v>2.7719999999999998</v>
      </c>
      <c r="H874" s="1">
        <v>3.3000000000000002E-2</v>
      </c>
      <c r="I874" s="12">
        <f t="shared" si="279"/>
        <v>2.8049999999999997</v>
      </c>
      <c r="J874" s="12">
        <v>3980.14311</v>
      </c>
      <c r="K874" s="12"/>
      <c r="L874" s="12">
        <f t="shared" si="280"/>
        <v>3980.14311</v>
      </c>
      <c r="M874" s="12">
        <f t="shared" si="266"/>
        <v>1418.9458502673799</v>
      </c>
      <c r="N874" s="12" t="e">
        <f t="shared" si="281"/>
        <v>#REF!</v>
      </c>
      <c r="O874" s="12" t="e">
        <f t="shared" si="282"/>
        <v>#REF!</v>
      </c>
      <c r="P874" s="12" t="e">
        <f t="shared" si="283"/>
        <v>#REF!</v>
      </c>
    </row>
    <row r="875" spans="1:16" ht="15.75" hidden="1" x14ac:dyDescent="0.25">
      <c r="A875" s="14">
        <v>16</v>
      </c>
      <c r="B875" s="14">
        <v>36</v>
      </c>
      <c r="C875" s="8" t="s">
        <v>1744</v>
      </c>
      <c r="D875" s="28" t="s">
        <v>2336</v>
      </c>
      <c r="E875" s="12" t="s">
        <v>1776</v>
      </c>
      <c r="F875" s="1"/>
      <c r="G875" s="1">
        <v>3.5830000000000002</v>
      </c>
      <c r="H875" s="1">
        <v>5.0999999999999997E-2</v>
      </c>
      <c r="I875" s="12">
        <f t="shared" si="279"/>
        <v>3.6340000000000003</v>
      </c>
      <c r="J875" s="12">
        <v>3191.3257599999997</v>
      </c>
      <c r="K875" s="12"/>
      <c r="L875" s="12">
        <f t="shared" si="280"/>
        <v>3191.3257599999997</v>
      </c>
      <c r="M875" s="12">
        <f t="shared" si="266"/>
        <v>878.18540451293325</v>
      </c>
      <c r="N875" s="12" t="e">
        <f t="shared" si="281"/>
        <v>#REF!</v>
      </c>
      <c r="O875" s="12" t="e">
        <f t="shared" si="282"/>
        <v>#REF!</v>
      </c>
      <c r="P875" s="12" t="e">
        <f t="shared" si="283"/>
        <v>#REF!</v>
      </c>
    </row>
    <row r="876" spans="1:16" ht="15.75" hidden="1" x14ac:dyDescent="0.25">
      <c r="A876" s="14">
        <v>16</v>
      </c>
      <c r="B876" s="14">
        <v>38</v>
      </c>
      <c r="C876" s="8" t="s">
        <v>1744</v>
      </c>
      <c r="D876" s="28" t="s">
        <v>2337</v>
      </c>
      <c r="E876" s="12" t="s">
        <v>1777</v>
      </c>
      <c r="F876" s="1"/>
      <c r="G876" s="1">
        <v>5.1079999999999997</v>
      </c>
      <c r="H876" s="1">
        <v>4.7E-2</v>
      </c>
      <c r="I876" s="12">
        <f t="shared" si="279"/>
        <v>5.1549999999999994</v>
      </c>
      <c r="J876" s="12">
        <v>6625.8844600000002</v>
      </c>
      <c r="K876" s="12"/>
      <c r="L876" s="12">
        <f t="shared" si="280"/>
        <v>6625.8844600000002</v>
      </c>
      <c r="M876" s="12">
        <f t="shared" si="266"/>
        <v>1285.3316120271584</v>
      </c>
      <c r="N876" s="12" t="e">
        <f t="shared" si="281"/>
        <v>#REF!</v>
      </c>
      <c r="O876" s="12" t="e">
        <f t="shared" si="282"/>
        <v>#REF!</v>
      </c>
      <c r="P876" s="12" t="e">
        <f t="shared" si="283"/>
        <v>#REF!</v>
      </c>
    </row>
    <row r="877" spans="1:16" ht="15.75" hidden="1" x14ac:dyDescent="0.25">
      <c r="A877" s="14">
        <v>16</v>
      </c>
      <c r="B877" s="14">
        <v>39</v>
      </c>
      <c r="C877" s="8" t="s">
        <v>1744</v>
      </c>
      <c r="D877" s="28" t="s">
        <v>2338</v>
      </c>
      <c r="E877" s="12" t="s">
        <v>1778</v>
      </c>
      <c r="F877" s="1"/>
      <c r="G877" s="1">
        <v>17.018000000000001</v>
      </c>
      <c r="H877" s="1">
        <v>0.35199999999999998</v>
      </c>
      <c r="I877" s="12">
        <f t="shared" si="279"/>
        <v>17.37</v>
      </c>
      <c r="J877" s="12">
        <v>19233.05587</v>
      </c>
      <c r="K877" s="12"/>
      <c r="L877" s="12">
        <f t="shared" si="280"/>
        <v>19233.05587</v>
      </c>
      <c r="M877" s="12">
        <f t="shared" si="266"/>
        <v>1107.2571024755325</v>
      </c>
      <c r="N877" s="12" t="e">
        <f t="shared" si="281"/>
        <v>#REF!</v>
      </c>
      <c r="O877" s="12" t="e">
        <f t="shared" si="282"/>
        <v>#REF!</v>
      </c>
      <c r="P877" s="12" t="e">
        <f t="shared" si="283"/>
        <v>#REF!</v>
      </c>
    </row>
    <row r="878" spans="1:16" ht="15.75" hidden="1" x14ac:dyDescent="0.25">
      <c r="A878" s="14">
        <v>16</v>
      </c>
      <c r="B878" s="14">
        <v>40</v>
      </c>
      <c r="C878" s="8" t="s">
        <v>1744</v>
      </c>
      <c r="D878" s="28" t="s">
        <v>2339</v>
      </c>
      <c r="E878" s="12" t="s">
        <v>1779</v>
      </c>
      <c r="F878" s="1"/>
      <c r="G878" s="1">
        <v>6.5679999999999996</v>
      </c>
      <c r="H878" s="1">
        <v>6.7000000000000004E-2</v>
      </c>
      <c r="I878" s="12">
        <f t="shared" si="279"/>
        <v>6.6349999999999998</v>
      </c>
      <c r="J878" s="12">
        <v>10882.124449999999</v>
      </c>
      <c r="K878" s="12"/>
      <c r="L878" s="12">
        <f t="shared" si="280"/>
        <v>10882.124449999999</v>
      </c>
      <c r="M878" s="12">
        <f t="shared" si="266"/>
        <v>1640.1091861341372</v>
      </c>
      <c r="N878" s="12" t="e">
        <f t="shared" si="281"/>
        <v>#REF!</v>
      </c>
      <c r="O878" s="12" t="e">
        <f t="shared" si="282"/>
        <v>#REF!</v>
      </c>
      <c r="P878" s="12" t="e">
        <f t="shared" si="283"/>
        <v>#REF!</v>
      </c>
    </row>
    <row r="879" spans="1:16" ht="15.75" hidden="1" x14ac:dyDescent="0.25">
      <c r="A879" s="14">
        <v>16</v>
      </c>
      <c r="B879" s="14">
        <v>41</v>
      </c>
      <c r="C879" s="8" t="s">
        <v>1744</v>
      </c>
      <c r="D879" s="28" t="s">
        <v>2340</v>
      </c>
      <c r="E879" s="12" t="s">
        <v>1780</v>
      </c>
      <c r="F879" s="1"/>
      <c r="G879" s="1">
        <v>2.6019999999999999</v>
      </c>
      <c r="H879" s="1">
        <v>2.8000000000000001E-2</v>
      </c>
      <c r="I879" s="12">
        <f t="shared" si="279"/>
        <v>2.63</v>
      </c>
      <c r="J879" s="12">
        <v>3765.02394</v>
      </c>
      <c r="K879" s="12"/>
      <c r="L879" s="12">
        <f t="shared" si="280"/>
        <v>3765.02394</v>
      </c>
      <c r="M879" s="12">
        <f t="shared" si="266"/>
        <v>1431.5680380228137</v>
      </c>
      <c r="N879" s="12" t="e">
        <f t="shared" si="281"/>
        <v>#REF!</v>
      </c>
      <c r="O879" s="12" t="e">
        <f t="shared" si="282"/>
        <v>#REF!</v>
      </c>
      <c r="P879" s="12" t="e">
        <f t="shared" si="283"/>
        <v>#REF!</v>
      </c>
    </row>
    <row r="880" spans="1:16" ht="15.75" hidden="1" x14ac:dyDescent="0.25">
      <c r="A880" s="14">
        <v>16</v>
      </c>
      <c r="B880" s="14">
        <v>42</v>
      </c>
      <c r="C880" s="8" t="s">
        <v>1744</v>
      </c>
      <c r="D880" s="28" t="s">
        <v>2341</v>
      </c>
      <c r="E880" s="12" t="s">
        <v>1781</v>
      </c>
      <c r="F880" s="1"/>
      <c r="G880" s="1">
        <v>1.992</v>
      </c>
      <c r="H880" s="1">
        <v>2.7E-2</v>
      </c>
      <c r="I880" s="12">
        <f t="shared" si="279"/>
        <v>2.0190000000000001</v>
      </c>
      <c r="J880" s="12">
        <v>1411.4056799999998</v>
      </c>
      <c r="K880" s="12"/>
      <c r="L880" s="12">
        <f t="shared" si="280"/>
        <v>1411.4056799999998</v>
      </c>
      <c r="M880" s="12">
        <f t="shared" si="266"/>
        <v>699.06175334323916</v>
      </c>
      <c r="N880" s="12" t="e">
        <f t="shared" si="281"/>
        <v>#REF!</v>
      </c>
      <c r="O880" s="12" t="e">
        <f t="shared" si="282"/>
        <v>#REF!</v>
      </c>
      <c r="P880" s="12" t="e">
        <f t="shared" si="283"/>
        <v>#REF!</v>
      </c>
    </row>
    <row r="881" spans="1:16" ht="15.75" hidden="1" x14ac:dyDescent="0.25">
      <c r="A881" s="14">
        <v>16</v>
      </c>
      <c r="B881" s="14">
        <v>43</v>
      </c>
      <c r="C881" s="8" t="s">
        <v>1744</v>
      </c>
      <c r="D881" s="28" t="s">
        <v>2342</v>
      </c>
      <c r="E881" s="12" t="s">
        <v>1782</v>
      </c>
      <c r="F881" s="1"/>
      <c r="G881" s="1">
        <v>11.058999999999999</v>
      </c>
      <c r="H881" s="1">
        <v>0.10100000000000001</v>
      </c>
      <c r="I881" s="12">
        <f t="shared" si="279"/>
        <v>11.16</v>
      </c>
      <c r="J881" s="12">
        <v>8115.0360199999996</v>
      </c>
      <c r="K881" s="12"/>
      <c r="L881" s="12">
        <f t="shared" si="280"/>
        <v>8115.0360199999996</v>
      </c>
      <c r="M881" s="12">
        <f t="shared" si="266"/>
        <v>727.15376523297482</v>
      </c>
      <c r="N881" s="12" t="e">
        <f t="shared" si="281"/>
        <v>#REF!</v>
      </c>
      <c r="O881" s="12" t="e">
        <f t="shared" si="282"/>
        <v>#REF!</v>
      </c>
      <c r="P881" s="12" t="e">
        <f t="shared" si="283"/>
        <v>#REF!</v>
      </c>
    </row>
    <row r="882" spans="1:16" ht="15.75" hidden="1" x14ac:dyDescent="0.25">
      <c r="A882" s="14">
        <v>16</v>
      </c>
      <c r="B882" s="14">
        <v>44</v>
      </c>
      <c r="C882" s="8" t="s">
        <v>1744</v>
      </c>
      <c r="D882" s="28" t="s">
        <v>2343</v>
      </c>
      <c r="E882" s="12" t="s">
        <v>1044</v>
      </c>
      <c r="F882" s="1"/>
      <c r="G882" s="1">
        <v>4.5439999999999996</v>
      </c>
      <c r="H882" s="1">
        <v>3.6999999999999998E-2</v>
      </c>
      <c r="I882" s="12">
        <f t="shared" si="279"/>
        <v>4.5809999999999995</v>
      </c>
      <c r="J882" s="12">
        <v>5578.2640499999998</v>
      </c>
      <c r="K882" s="12"/>
      <c r="L882" s="12">
        <f t="shared" si="280"/>
        <v>5578.2640499999998</v>
      </c>
      <c r="M882" s="12">
        <f t="shared" si="266"/>
        <v>1217.6957105435495</v>
      </c>
      <c r="N882" s="12" t="e">
        <f t="shared" si="281"/>
        <v>#REF!</v>
      </c>
      <c r="O882" s="12" t="e">
        <f t="shared" si="282"/>
        <v>#REF!</v>
      </c>
      <c r="P882" s="12" t="e">
        <f t="shared" si="283"/>
        <v>#REF!</v>
      </c>
    </row>
    <row r="883" spans="1:16" ht="15.75" hidden="1" x14ac:dyDescent="0.25">
      <c r="A883" s="14">
        <v>16</v>
      </c>
      <c r="B883" s="14">
        <v>45</v>
      </c>
      <c r="C883" s="8" t="s">
        <v>1744</v>
      </c>
      <c r="D883" s="28" t="s">
        <v>2344</v>
      </c>
      <c r="E883" s="12" t="s">
        <v>2345</v>
      </c>
      <c r="F883" s="1"/>
      <c r="G883" s="1">
        <v>14.94</v>
      </c>
      <c r="H883" s="1">
        <v>0.21299999999999999</v>
      </c>
      <c r="I883" s="12">
        <f t="shared" si="279"/>
        <v>15.152999999999999</v>
      </c>
      <c r="J883" s="12">
        <v>38040.282500000001</v>
      </c>
      <c r="K883" s="12"/>
      <c r="L883" s="12">
        <f t="shared" si="280"/>
        <v>38040.282500000001</v>
      </c>
      <c r="M883" s="12">
        <f t="shared" si="266"/>
        <v>2510.4126245627931</v>
      </c>
      <c r="N883" s="12" t="e">
        <f t="shared" si="281"/>
        <v>#REF!</v>
      </c>
      <c r="O883" s="12" t="e">
        <f t="shared" si="282"/>
        <v>#REF!</v>
      </c>
      <c r="P883" s="12" t="e">
        <f t="shared" si="283"/>
        <v>#REF!</v>
      </c>
    </row>
    <row r="884" spans="1:16" ht="15.75" hidden="1" x14ac:dyDescent="0.25">
      <c r="A884" s="14">
        <v>16</v>
      </c>
      <c r="B884" s="14">
        <v>46</v>
      </c>
      <c r="C884" s="19" t="s">
        <v>1744</v>
      </c>
      <c r="D884" s="31" t="s">
        <v>100</v>
      </c>
      <c r="E884" s="12" t="s">
        <v>141</v>
      </c>
      <c r="F884" s="1"/>
      <c r="G884" s="1">
        <v>5.3120000000000003</v>
      </c>
      <c r="H884" s="1">
        <v>0.14599999999999999</v>
      </c>
      <c r="I884" s="12">
        <f t="shared" si="279"/>
        <v>5.4580000000000002</v>
      </c>
      <c r="J884" s="12">
        <v>5482.491</v>
      </c>
      <c r="K884" s="12"/>
      <c r="L884" s="12">
        <f t="shared" si="280"/>
        <v>5482.491</v>
      </c>
      <c r="M884" s="12">
        <f t="shared" si="266"/>
        <v>1004.4871747893001</v>
      </c>
      <c r="N884" s="12" t="e">
        <f t="shared" si="281"/>
        <v>#REF!</v>
      </c>
      <c r="O884" s="12" t="e">
        <f t="shared" si="282"/>
        <v>#REF!</v>
      </c>
      <c r="P884" s="12" t="e">
        <f t="shared" si="283"/>
        <v>#REF!</v>
      </c>
    </row>
    <row r="885" spans="1:16" ht="15.75" hidden="1" x14ac:dyDescent="0.25">
      <c r="A885" s="14">
        <v>16</v>
      </c>
      <c r="B885" s="14">
        <v>47</v>
      </c>
      <c r="C885" s="19" t="s">
        <v>1744</v>
      </c>
      <c r="D885" s="31" t="s">
        <v>101</v>
      </c>
      <c r="E885" s="12" t="s">
        <v>102</v>
      </c>
      <c r="F885" s="1"/>
      <c r="G885" s="1">
        <v>2.74</v>
      </c>
      <c r="H885" s="1">
        <v>4.4999999999999998E-2</v>
      </c>
      <c r="I885" s="12">
        <f t="shared" si="279"/>
        <v>2.7850000000000001</v>
      </c>
      <c r="J885" s="12">
        <v>3561.9479999999999</v>
      </c>
      <c r="K885" s="12"/>
      <c r="L885" s="12">
        <f t="shared" si="280"/>
        <v>3561.9479999999999</v>
      </c>
      <c r="M885" s="12">
        <f t="shared" si="266"/>
        <v>1278.9759425493714</v>
      </c>
      <c r="N885" s="12" t="e">
        <f t="shared" si="281"/>
        <v>#REF!</v>
      </c>
      <c r="O885" s="12" t="e">
        <f t="shared" si="282"/>
        <v>#REF!</v>
      </c>
      <c r="P885" s="12" t="e">
        <f t="shared" si="283"/>
        <v>#REF!</v>
      </c>
    </row>
    <row r="886" spans="1:16" ht="15.75" hidden="1" x14ac:dyDescent="0.25">
      <c r="A886" s="14">
        <v>16</v>
      </c>
      <c r="B886" s="14">
        <v>48</v>
      </c>
      <c r="C886" s="19" t="s">
        <v>1744</v>
      </c>
      <c r="D886" s="31" t="s">
        <v>373</v>
      </c>
      <c r="E886" s="12" t="s">
        <v>374</v>
      </c>
      <c r="F886" s="1"/>
      <c r="G886" s="1">
        <v>11.186</v>
      </c>
      <c r="H886" s="1">
        <v>0.254</v>
      </c>
      <c r="I886" s="12">
        <f t="shared" si="279"/>
        <v>11.44</v>
      </c>
      <c r="J886" s="12">
        <v>17651.099999999999</v>
      </c>
      <c r="K886" s="12"/>
      <c r="L886" s="12">
        <f t="shared" si="280"/>
        <v>17651.099999999999</v>
      </c>
      <c r="M886" s="12">
        <f t="shared" si="266"/>
        <v>1542.9283216783217</v>
      </c>
      <c r="N886" s="12" t="e">
        <f t="shared" si="281"/>
        <v>#REF!</v>
      </c>
      <c r="O886" s="12" t="e">
        <f t="shared" si="282"/>
        <v>#REF!</v>
      </c>
      <c r="P886" s="12" t="e">
        <f t="shared" si="283"/>
        <v>#REF!</v>
      </c>
    </row>
    <row r="887" spans="1:16" ht="15.75" hidden="1" x14ac:dyDescent="0.25">
      <c r="A887" s="14">
        <v>16</v>
      </c>
      <c r="B887" s="14">
        <v>49</v>
      </c>
      <c r="C887" s="19" t="s">
        <v>1744</v>
      </c>
      <c r="D887" s="31" t="s">
        <v>375</v>
      </c>
      <c r="E887" s="12" t="s">
        <v>376</v>
      </c>
      <c r="F887" s="1"/>
      <c r="G887" s="1">
        <v>3.7450000000000001</v>
      </c>
      <c r="H887" s="1">
        <v>0.14599999999999999</v>
      </c>
      <c r="I887" s="12">
        <f t="shared" si="279"/>
        <v>3.891</v>
      </c>
      <c r="J887" s="12">
        <v>5070.2</v>
      </c>
      <c r="K887" s="12"/>
      <c r="L887" s="12">
        <f t="shared" si="280"/>
        <v>5070.2</v>
      </c>
      <c r="M887" s="12">
        <f t="shared" si="266"/>
        <v>1303.0583397584169</v>
      </c>
      <c r="N887" s="12" t="e">
        <f t="shared" si="281"/>
        <v>#REF!</v>
      </c>
      <c r="O887" s="12" t="e">
        <f t="shared" si="282"/>
        <v>#REF!</v>
      </c>
      <c r="P887" s="12" t="e">
        <f t="shared" si="283"/>
        <v>#REF!</v>
      </c>
    </row>
    <row r="888" spans="1:16" ht="15.75" hidden="1" x14ac:dyDescent="0.25">
      <c r="A888" s="14">
        <v>16</v>
      </c>
      <c r="B888" s="14">
        <v>50</v>
      </c>
      <c r="C888" s="19" t="s">
        <v>1744</v>
      </c>
      <c r="D888" s="31" t="s">
        <v>377</v>
      </c>
      <c r="E888" s="12" t="s">
        <v>378</v>
      </c>
      <c r="F888" s="1"/>
      <c r="G888" s="1">
        <v>16.789000000000001</v>
      </c>
      <c r="H888" s="1">
        <v>0.158</v>
      </c>
      <c r="I888" s="12">
        <f t="shared" si="279"/>
        <v>16.947000000000003</v>
      </c>
      <c r="J888" s="12">
        <v>19498.5</v>
      </c>
      <c r="K888" s="12"/>
      <c r="L888" s="12">
        <f t="shared" si="280"/>
        <v>19498.5</v>
      </c>
      <c r="M888" s="12">
        <f t="shared" si="266"/>
        <v>1150.5576208178436</v>
      </c>
      <c r="N888" s="12" t="e">
        <f t="shared" si="281"/>
        <v>#REF!</v>
      </c>
      <c r="O888" s="12" t="e">
        <f t="shared" si="282"/>
        <v>#REF!</v>
      </c>
      <c r="P888" s="12" t="e">
        <f t="shared" si="283"/>
        <v>#REF!</v>
      </c>
    </row>
    <row r="889" spans="1:16" ht="15.75" hidden="1" x14ac:dyDescent="0.25">
      <c r="A889" s="14">
        <v>16</v>
      </c>
      <c r="B889" s="14">
        <v>51</v>
      </c>
      <c r="C889" s="19" t="s">
        <v>1744</v>
      </c>
      <c r="D889" s="31" t="s">
        <v>379</v>
      </c>
      <c r="E889" s="12" t="s">
        <v>380</v>
      </c>
      <c r="F889" s="1"/>
      <c r="G889" s="1">
        <v>2.944</v>
      </c>
      <c r="H889" s="1">
        <v>8.2000000000000003E-2</v>
      </c>
      <c r="I889" s="12">
        <f t="shared" si="279"/>
        <v>3.0259999999999998</v>
      </c>
      <c r="J889" s="12">
        <v>4789.7</v>
      </c>
      <c r="K889" s="12"/>
      <c r="L889" s="12">
        <f t="shared" si="280"/>
        <v>4789.7</v>
      </c>
      <c r="M889" s="12">
        <f t="shared" si="266"/>
        <v>1582.8486450760079</v>
      </c>
      <c r="N889" s="12" t="e">
        <f t="shared" si="281"/>
        <v>#REF!</v>
      </c>
      <c r="O889" s="12" t="e">
        <f t="shared" si="282"/>
        <v>#REF!</v>
      </c>
      <c r="P889" s="12" t="e">
        <f t="shared" si="283"/>
        <v>#REF!</v>
      </c>
    </row>
    <row r="890" spans="1:16" ht="31.5" hidden="1" x14ac:dyDescent="0.25">
      <c r="A890" s="14">
        <v>16</v>
      </c>
      <c r="B890" s="14">
        <v>52</v>
      </c>
      <c r="C890" s="19" t="s">
        <v>1744</v>
      </c>
      <c r="D890" s="31" t="s">
        <v>550</v>
      </c>
      <c r="E890" s="38" t="s">
        <v>551</v>
      </c>
      <c r="F890" s="39"/>
      <c r="G890" s="39">
        <v>10.523999999999999</v>
      </c>
      <c r="H890" s="39">
        <v>0.23799999999999999</v>
      </c>
      <c r="I890" s="12">
        <f t="shared" si="279"/>
        <v>10.761999999999999</v>
      </c>
      <c r="J890" s="38">
        <v>13488</v>
      </c>
      <c r="K890" s="38"/>
      <c r="L890" s="38">
        <f t="shared" si="280"/>
        <v>13488</v>
      </c>
      <c r="M890" s="38">
        <f t="shared" si="266"/>
        <v>1253.2986433748376</v>
      </c>
      <c r="N890" s="12" t="e">
        <f t="shared" si="281"/>
        <v>#REF!</v>
      </c>
      <c r="O890" s="12" t="e">
        <f t="shared" si="282"/>
        <v>#REF!</v>
      </c>
      <c r="P890" s="12" t="e">
        <f t="shared" si="283"/>
        <v>#REF!</v>
      </c>
    </row>
    <row r="891" spans="1:16" ht="15.75" hidden="1" x14ac:dyDescent="0.25">
      <c r="A891" s="14">
        <v>16</v>
      </c>
      <c r="B891" s="14">
        <v>53</v>
      </c>
      <c r="C891" s="19" t="s">
        <v>1744</v>
      </c>
      <c r="D891" s="31" t="s">
        <v>552</v>
      </c>
      <c r="E891" s="42" t="s">
        <v>844</v>
      </c>
      <c r="F891" s="43"/>
      <c r="G891" s="43">
        <v>1.9670000000000001</v>
      </c>
      <c r="H891" s="43">
        <v>1.4999999999999999E-2</v>
      </c>
      <c r="I891" s="12">
        <f t="shared" si="279"/>
        <v>1.982</v>
      </c>
      <c r="J891" s="42">
        <v>7445.174</v>
      </c>
      <c r="K891" s="42"/>
      <c r="L891" s="42">
        <f t="shared" si="280"/>
        <v>7445.174</v>
      </c>
      <c r="M891" s="42">
        <f t="shared" si="266"/>
        <v>3756.3945509586279</v>
      </c>
      <c r="N891" s="12" t="e">
        <f t="shared" si="281"/>
        <v>#REF!</v>
      </c>
      <c r="O891" s="12" t="e">
        <f t="shared" si="282"/>
        <v>#REF!</v>
      </c>
      <c r="P891" s="12" t="e">
        <f t="shared" si="283"/>
        <v>#REF!</v>
      </c>
    </row>
    <row r="892" spans="1:16" ht="15.75" hidden="1" x14ac:dyDescent="0.25">
      <c r="A892" s="49">
        <v>16</v>
      </c>
      <c r="B892" s="49">
        <v>54</v>
      </c>
      <c r="C892" s="54" t="s">
        <v>1744</v>
      </c>
      <c r="D892" s="55" t="s">
        <v>845</v>
      </c>
      <c r="E892" s="52" t="s">
        <v>846</v>
      </c>
      <c r="F892" s="53"/>
      <c r="G892" s="53">
        <v>12.61</v>
      </c>
      <c r="H892" s="53">
        <v>0.19400000000000001</v>
      </c>
      <c r="I892" s="12">
        <f t="shared" si="279"/>
        <v>12.804</v>
      </c>
      <c r="J892" s="52">
        <v>30410.488000000001</v>
      </c>
      <c r="K892" s="52"/>
      <c r="L892" s="52">
        <f t="shared" si="280"/>
        <v>30410.488000000001</v>
      </c>
      <c r="M892" s="52">
        <f t="shared" si="266"/>
        <v>2375.077163386442</v>
      </c>
      <c r="N892" s="12" t="e">
        <f t="shared" si="281"/>
        <v>#REF!</v>
      </c>
      <c r="O892" s="12" t="e">
        <f t="shared" si="282"/>
        <v>#REF!</v>
      </c>
      <c r="P892" s="12" t="e">
        <f t="shared" si="283"/>
        <v>#REF!</v>
      </c>
    </row>
    <row r="893" spans="1:16" ht="15.75" hidden="1" x14ac:dyDescent="0.25">
      <c r="A893" s="49">
        <v>16</v>
      </c>
      <c r="B893" s="49">
        <v>55</v>
      </c>
      <c r="C893" s="54" t="s">
        <v>1744</v>
      </c>
      <c r="D893" s="55" t="s">
        <v>847</v>
      </c>
      <c r="E893" s="52" t="s">
        <v>848</v>
      </c>
      <c r="F893" s="53"/>
      <c r="G893" s="53">
        <v>3.87</v>
      </c>
      <c r="H893" s="53">
        <v>6.0999999999999999E-2</v>
      </c>
      <c r="I893" s="12">
        <f t="shared" si="279"/>
        <v>3.931</v>
      </c>
      <c r="J893" s="52">
        <v>6973.2</v>
      </c>
      <c r="K893" s="52"/>
      <c r="L893" s="52">
        <f t="shared" si="280"/>
        <v>6973.2</v>
      </c>
      <c r="M893" s="52">
        <f t="shared" si="266"/>
        <v>1773.8997710506233</v>
      </c>
      <c r="N893" s="12" t="e">
        <f t="shared" si="281"/>
        <v>#REF!</v>
      </c>
      <c r="O893" s="12" t="e">
        <f t="shared" si="282"/>
        <v>#REF!</v>
      </c>
      <c r="P893" s="12" t="e">
        <f t="shared" si="283"/>
        <v>#REF!</v>
      </c>
    </row>
    <row r="894" spans="1:16" ht="15.75" hidden="1" x14ac:dyDescent="0.25">
      <c r="A894" s="49">
        <v>16</v>
      </c>
      <c r="B894" s="49">
        <v>56</v>
      </c>
      <c r="C894" s="54" t="s">
        <v>1744</v>
      </c>
      <c r="D894" s="55" t="s">
        <v>849</v>
      </c>
      <c r="E894" s="52" t="s">
        <v>850</v>
      </c>
      <c r="F894" s="53"/>
      <c r="G894" s="53">
        <v>3.7709999999999999</v>
      </c>
      <c r="H894" s="53">
        <v>6.2E-2</v>
      </c>
      <c r="I894" s="12">
        <f t="shared" si="279"/>
        <v>3.8329999999999997</v>
      </c>
      <c r="J894" s="52">
        <v>5506.3149999999996</v>
      </c>
      <c r="K894" s="52"/>
      <c r="L894" s="52">
        <f t="shared" si="280"/>
        <v>5506.3149999999996</v>
      </c>
      <c r="M894" s="52">
        <f t="shared" si="266"/>
        <v>1436.5549178189408</v>
      </c>
      <c r="N894" s="12" t="e">
        <f t="shared" si="281"/>
        <v>#REF!</v>
      </c>
      <c r="O894" s="12" t="e">
        <f t="shared" si="282"/>
        <v>#REF!</v>
      </c>
      <c r="P894" s="12" t="e">
        <f t="shared" si="283"/>
        <v>#REF!</v>
      </c>
    </row>
    <row r="895" spans="1:16" ht="15.75" hidden="1" x14ac:dyDescent="0.25">
      <c r="A895" s="49">
        <v>16</v>
      </c>
      <c r="B895" s="49">
        <v>57</v>
      </c>
      <c r="C895" s="54" t="s">
        <v>1744</v>
      </c>
      <c r="D895" s="55" t="s">
        <v>851</v>
      </c>
      <c r="E895" s="52" t="s">
        <v>852</v>
      </c>
      <c r="F895" s="53"/>
      <c r="G895" s="53">
        <v>12.718</v>
      </c>
      <c r="H895" s="53">
        <v>0.187</v>
      </c>
      <c r="I895" s="12">
        <f t="shared" si="279"/>
        <v>12.904999999999999</v>
      </c>
      <c r="J895" s="52">
        <v>33158.285000000003</v>
      </c>
      <c r="K895" s="52"/>
      <c r="L895" s="52">
        <f t="shared" si="280"/>
        <v>33158.285000000003</v>
      </c>
      <c r="M895" s="52">
        <f t="shared" si="266"/>
        <v>2569.4137931034488</v>
      </c>
      <c r="N895" s="12" t="e">
        <f t="shared" si="281"/>
        <v>#REF!</v>
      </c>
      <c r="O895" s="12" t="e">
        <f t="shared" si="282"/>
        <v>#REF!</v>
      </c>
      <c r="P895" s="12" t="e">
        <f t="shared" si="283"/>
        <v>#REF!</v>
      </c>
    </row>
    <row r="896" spans="1:16" ht="15.75" hidden="1" x14ac:dyDescent="0.25">
      <c r="A896" s="49">
        <v>16</v>
      </c>
      <c r="B896" s="49">
        <v>58</v>
      </c>
      <c r="C896" s="54" t="s">
        <v>1744</v>
      </c>
      <c r="D896" s="55" t="s">
        <v>853</v>
      </c>
      <c r="E896" s="52" t="s">
        <v>854</v>
      </c>
      <c r="F896" s="53"/>
      <c r="G896" s="53">
        <v>6.1710000000000003</v>
      </c>
      <c r="H896" s="53">
        <v>3.9E-2</v>
      </c>
      <c r="I896" s="12">
        <f t="shared" si="279"/>
        <v>6.21</v>
      </c>
      <c r="J896" s="52">
        <v>24629.8</v>
      </c>
      <c r="K896" s="52"/>
      <c r="L896" s="52">
        <f t="shared" si="280"/>
        <v>24629.8</v>
      </c>
      <c r="M896" s="52">
        <f t="shared" si="266"/>
        <v>3966.1513687600645</v>
      </c>
      <c r="N896" s="12" t="e">
        <f t="shared" si="281"/>
        <v>#REF!</v>
      </c>
      <c r="O896" s="12" t="e">
        <f t="shared" si="282"/>
        <v>#REF!</v>
      </c>
      <c r="P896" s="12" t="e">
        <f t="shared" si="283"/>
        <v>#REF!</v>
      </c>
    </row>
    <row r="897" spans="1:16" ht="15.75" hidden="1" x14ac:dyDescent="0.25">
      <c r="A897" s="49">
        <v>16</v>
      </c>
      <c r="B897" s="49">
        <v>59</v>
      </c>
      <c r="C897" s="54" t="s">
        <v>1744</v>
      </c>
      <c r="D897" s="55" t="s">
        <v>855</v>
      </c>
      <c r="E897" s="52" t="s">
        <v>856</v>
      </c>
      <c r="F897" s="53"/>
      <c r="G897" s="53">
        <v>4.3840000000000003</v>
      </c>
      <c r="H897" s="53">
        <v>5.5E-2</v>
      </c>
      <c r="I897" s="12">
        <f t="shared" si="279"/>
        <v>4.4390000000000001</v>
      </c>
      <c r="J897" s="52">
        <v>22482.227999999999</v>
      </c>
      <c r="K897" s="52"/>
      <c r="L897" s="52">
        <f t="shared" si="280"/>
        <v>22482.227999999999</v>
      </c>
      <c r="M897" s="52">
        <f t="shared" si="266"/>
        <v>5064.7055643162876</v>
      </c>
      <c r="N897" s="12" t="e">
        <f t="shared" si="281"/>
        <v>#REF!</v>
      </c>
      <c r="O897" s="12" t="e">
        <f t="shared" si="282"/>
        <v>#REF!</v>
      </c>
      <c r="P897" s="12" t="e">
        <f t="shared" si="283"/>
        <v>#REF!</v>
      </c>
    </row>
    <row r="898" spans="1:16" ht="15.75" hidden="1" x14ac:dyDescent="0.25">
      <c r="A898" s="49">
        <v>16</v>
      </c>
      <c r="B898" s="49">
        <v>60</v>
      </c>
      <c r="C898" s="54" t="s">
        <v>1744</v>
      </c>
      <c r="D898" s="55" t="s">
        <v>857</v>
      </c>
      <c r="E898" s="52" t="s">
        <v>858</v>
      </c>
      <c r="F898" s="53"/>
      <c r="G898" s="53">
        <v>4.1619999999999999</v>
      </c>
      <c r="H898" s="53">
        <v>6.2E-2</v>
      </c>
      <c r="I898" s="12">
        <f t="shared" si="279"/>
        <v>4.2240000000000002</v>
      </c>
      <c r="J898" s="52">
        <v>5012.3919999999998</v>
      </c>
      <c r="K898" s="52"/>
      <c r="L898" s="52">
        <f t="shared" si="280"/>
        <v>5012.3919999999998</v>
      </c>
      <c r="M898" s="52">
        <f t="shared" si="266"/>
        <v>1186.6458333333333</v>
      </c>
      <c r="N898" s="12" t="e">
        <f t="shared" si="281"/>
        <v>#REF!</v>
      </c>
      <c r="O898" s="12" t="e">
        <f t="shared" si="282"/>
        <v>#REF!</v>
      </c>
      <c r="P898" s="12" t="e">
        <f t="shared" si="283"/>
        <v>#REF!</v>
      </c>
    </row>
    <row r="899" spans="1:16" ht="15.75" hidden="1" x14ac:dyDescent="0.25">
      <c r="A899" s="49">
        <v>16</v>
      </c>
      <c r="B899" s="49">
        <v>61</v>
      </c>
      <c r="C899" s="54" t="s">
        <v>1744</v>
      </c>
      <c r="D899" s="55" t="s">
        <v>859</v>
      </c>
      <c r="E899" s="52" t="s">
        <v>860</v>
      </c>
      <c r="F899" s="53"/>
      <c r="G899" s="53">
        <v>5.3079999999999998</v>
      </c>
      <c r="H899" s="53">
        <v>5.2999999999999999E-2</v>
      </c>
      <c r="I899" s="12">
        <f t="shared" si="279"/>
        <v>5.3609999999999998</v>
      </c>
      <c r="J899" s="52">
        <v>18238.131000000001</v>
      </c>
      <c r="K899" s="52"/>
      <c r="L899" s="52">
        <f t="shared" si="280"/>
        <v>18238.131000000001</v>
      </c>
      <c r="M899" s="52">
        <f t="shared" si="266"/>
        <v>3402.0016787912705</v>
      </c>
      <c r="N899" s="12" t="e">
        <f t="shared" si="281"/>
        <v>#REF!</v>
      </c>
      <c r="O899" s="12" t="e">
        <f t="shared" si="282"/>
        <v>#REF!</v>
      </c>
      <c r="P899" s="12" t="e">
        <f t="shared" si="283"/>
        <v>#REF!</v>
      </c>
    </row>
    <row r="900" spans="1:16" ht="15.75" hidden="1" x14ac:dyDescent="0.25">
      <c r="A900" s="49">
        <v>16</v>
      </c>
      <c r="B900" s="49">
        <v>62</v>
      </c>
      <c r="C900" s="54" t="s">
        <v>1744</v>
      </c>
      <c r="D900" s="55" t="s">
        <v>861</v>
      </c>
      <c r="E900" s="52" t="s">
        <v>862</v>
      </c>
      <c r="F900" s="53"/>
      <c r="G900" s="53">
        <v>3.95</v>
      </c>
      <c r="H900" s="53">
        <v>6.7000000000000004E-2</v>
      </c>
      <c r="I900" s="12">
        <f t="shared" si="279"/>
        <v>4.0170000000000003</v>
      </c>
      <c r="J900" s="52">
        <v>7205.5690000000004</v>
      </c>
      <c r="K900" s="52"/>
      <c r="L900" s="52">
        <f t="shared" si="280"/>
        <v>7205.5690000000004</v>
      </c>
      <c r="M900" s="52">
        <f t="shared" si="266"/>
        <v>1793.7687328852378</v>
      </c>
      <c r="N900" s="12" t="e">
        <f t="shared" si="281"/>
        <v>#REF!</v>
      </c>
      <c r="O900" s="12" t="e">
        <f t="shared" si="282"/>
        <v>#REF!</v>
      </c>
      <c r="P900" s="12" t="e">
        <f t="shared" si="283"/>
        <v>#REF!</v>
      </c>
    </row>
    <row r="901" spans="1:16" ht="15.75" hidden="1" x14ac:dyDescent="0.25">
      <c r="A901" s="49">
        <v>16</v>
      </c>
      <c r="B901" s="49">
        <v>63</v>
      </c>
      <c r="C901" s="54" t="s">
        <v>1744</v>
      </c>
      <c r="D901" s="55" t="s">
        <v>863</v>
      </c>
      <c r="E901" s="52" t="s">
        <v>864</v>
      </c>
      <c r="F901" s="53"/>
      <c r="G901" s="53">
        <v>9.0730000000000004</v>
      </c>
      <c r="H901" s="53">
        <v>0.32400000000000001</v>
      </c>
      <c r="I901" s="12">
        <f t="shared" si="279"/>
        <v>9.3970000000000002</v>
      </c>
      <c r="J901" s="52">
        <v>9640.7139999999999</v>
      </c>
      <c r="K901" s="52"/>
      <c r="L901" s="52">
        <f t="shared" si="280"/>
        <v>9640.7139999999999</v>
      </c>
      <c r="M901" s="52">
        <f t="shared" si="266"/>
        <v>1025.9352984995212</v>
      </c>
      <c r="N901" s="12" t="e">
        <f t="shared" si="281"/>
        <v>#REF!</v>
      </c>
      <c r="O901" s="12" t="e">
        <f t="shared" si="282"/>
        <v>#REF!</v>
      </c>
      <c r="P901" s="12" t="e">
        <f t="shared" si="283"/>
        <v>#REF!</v>
      </c>
    </row>
    <row r="902" spans="1:16" ht="31.5" hidden="1" x14ac:dyDescent="0.25">
      <c r="A902" s="49">
        <v>16</v>
      </c>
      <c r="B902" s="49">
        <v>64</v>
      </c>
      <c r="C902" s="54" t="s">
        <v>1744</v>
      </c>
      <c r="D902" s="55" t="s">
        <v>865</v>
      </c>
      <c r="E902" s="52" t="s">
        <v>866</v>
      </c>
      <c r="F902" s="53"/>
      <c r="G902" s="53">
        <v>3.552</v>
      </c>
      <c r="H902" s="53">
        <v>3.6999999999999998E-2</v>
      </c>
      <c r="I902" s="12">
        <f t="shared" si="279"/>
        <v>3.589</v>
      </c>
      <c r="J902" s="52">
        <f>1051.6+766.645</f>
        <v>1818.2449999999999</v>
      </c>
      <c r="K902" s="52"/>
      <c r="L902" s="52">
        <f t="shared" si="280"/>
        <v>1818.2449999999999</v>
      </c>
      <c r="M902" s="52">
        <f>L902/I902</f>
        <v>506.61604903872944</v>
      </c>
      <c r="N902" s="12" t="e">
        <f t="shared" si="281"/>
        <v>#REF!</v>
      </c>
      <c r="O902" s="12" t="e">
        <f t="shared" si="282"/>
        <v>#REF!</v>
      </c>
      <c r="P902" s="12" t="e">
        <f t="shared" si="283"/>
        <v>#REF!</v>
      </c>
    </row>
    <row r="903" spans="1:16" ht="31.5" hidden="1" x14ac:dyDescent="0.25">
      <c r="A903" s="49">
        <v>16</v>
      </c>
      <c r="B903" s="49">
        <v>65</v>
      </c>
      <c r="C903" s="54" t="s">
        <v>1744</v>
      </c>
      <c r="D903" s="55" t="s">
        <v>867</v>
      </c>
      <c r="E903" s="52" t="s">
        <v>868</v>
      </c>
      <c r="F903" s="53"/>
      <c r="G903" s="53">
        <v>3.0550000000000002</v>
      </c>
      <c r="H903" s="53">
        <v>0.02</v>
      </c>
      <c r="I903" s="12">
        <f t="shared" si="279"/>
        <v>3.0750000000000002</v>
      </c>
      <c r="J903" s="52">
        <f>10421.67+597.205</f>
        <v>11018.875</v>
      </c>
      <c r="K903" s="52"/>
      <c r="L903" s="52">
        <f t="shared" si="280"/>
        <v>11018.875</v>
      </c>
      <c r="M903" s="52">
        <f>L903/I903</f>
        <v>3583.3739837398371</v>
      </c>
      <c r="N903" s="12" t="e">
        <f t="shared" si="281"/>
        <v>#REF!</v>
      </c>
      <c r="O903" s="12" t="e">
        <f t="shared" si="282"/>
        <v>#REF!</v>
      </c>
      <c r="P903" s="12" t="e">
        <f t="shared" si="283"/>
        <v>#REF!</v>
      </c>
    </row>
    <row r="904" spans="1:16" ht="18.75" hidden="1" x14ac:dyDescent="0.3">
      <c r="A904" s="49">
        <v>16</v>
      </c>
      <c r="B904" s="49">
        <v>66</v>
      </c>
      <c r="C904" s="37" t="s">
        <v>1744</v>
      </c>
      <c r="D904" s="61" t="s">
        <v>1105</v>
      </c>
      <c r="E904" s="63" t="s">
        <v>1106</v>
      </c>
      <c r="F904" s="53"/>
      <c r="G904" s="53">
        <v>4.5490000000000004</v>
      </c>
      <c r="H904" s="53">
        <v>4.9000000000000002E-2</v>
      </c>
      <c r="I904" s="12">
        <f t="shared" si="279"/>
        <v>4.5980000000000008</v>
      </c>
      <c r="J904" s="52">
        <v>6095.1819999999998</v>
      </c>
      <c r="K904" s="52"/>
      <c r="L904" s="52">
        <f t="shared" ref="L904:L910" si="284">J904+K904</f>
        <v>6095.1819999999998</v>
      </c>
      <c r="M904" s="52">
        <f t="shared" ref="M904:M910" si="285">L904/I904</f>
        <v>1325.615919965202</v>
      </c>
      <c r="N904" s="12" t="e">
        <f t="shared" si="281"/>
        <v>#REF!</v>
      </c>
      <c r="O904" s="12" t="e">
        <f t="shared" si="282"/>
        <v>#REF!</v>
      </c>
      <c r="P904" s="12" t="e">
        <f t="shared" si="283"/>
        <v>#REF!</v>
      </c>
    </row>
    <row r="905" spans="1:16" ht="37.5" hidden="1" x14ac:dyDescent="0.3">
      <c r="A905" s="49">
        <v>16</v>
      </c>
      <c r="B905" s="49">
        <v>67</v>
      </c>
      <c r="C905" s="12" t="s">
        <v>1744</v>
      </c>
      <c r="D905" s="61" t="s">
        <v>1107</v>
      </c>
      <c r="E905" s="63" t="s">
        <v>1108</v>
      </c>
      <c r="F905" s="53"/>
      <c r="G905" s="53">
        <v>10.738</v>
      </c>
      <c r="H905" s="53">
        <v>3.6999999999999998E-2</v>
      </c>
      <c r="I905" s="12">
        <f t="shared" si="279"/>
        <v>10.775</v>
      </c>
      <c r="J905" s="52">
        <v>15485.62</v>
      </c>
      <c r="K905" s="52"/>
      <c r="L905" s="52">
        <f t="shared" si="284"/>
        <v>15485.62</v>
      </c>
      <c r="M905" s="52">
        <f t="shared" si="285"/>
        <v>1437.1805104408354</v>
      </c>
      <c r="N905" s="12" t="e">
        <f t="shared" si="281"/>
        <v>#REF!</v>
      </c>
      <c r="O905" s="12" t="e">
        <f t="shared" si="282"/>
        <v>#REF!</v>
      </c>
      <c r="P905" s="12" t="e">
        <f t="shared" si="283"/>
        <v>#REF!</v>
      </c>
    </row>
    <row r="906" spans="1:16" ht="18.75" hidden="1" x14ac:dyDescent="0.3">
      <c r="A906" s="49">
        <v>16</v>
      </c>
      <c r="B906" s="49">
        <v>68</v>
      </c>
      <c r="C906" s="12" t="s">
        <v>1744</v>
      </c>
      <c r="D906" s="61" t="s">
        <v>1109</v>
      </c>
      <c r="E906" s="63" t="s">
        <v>1110</v>
      </c>
      <c r="F906" s="53"/>
      <c r="G906" s="53">
        <v>7.6559999999999997</v>
      </c>
      <c r="H906" s="53">
        <v>7.0999999999999994E-2</v>
      </c>
      <c r="I906" s="12">
        <f t="shared" si="279"/>
        <v>7.7269999999999994</v>
      </c>
      <c r="J906" s="52">
        <v>23311.016</v>
      </c>
      <c r="K906" s="52"/>
      <c r="L906" s="52">
        <f t="shared" si="284"/>
        <v>23311.016</v>
      </c>
      <c r="M906" s="52">
        <f t="shared" si="285"/>
        <v>3016.826193865666</v>
      </c>
      <c r="N906" s="12" t="e">
        <f t="shared" si="281"/>
        <v>#REF!</v>
      </c>
      <c r="O906" s="12" t="e">
        <f t="shared" si="282"/>
        <v>#REF!</v>
      </c>
      <c r="P906" s="12" t="e">
        <f t="shared" si="283"/>
        <v>#REF!</v>
      </c>
    </row>
    <row r="907" spans="1:16" ht="18.75" hidden="1" x14ac:dyDescent="0.3">
      <c r="A907" s="49">
        <v>16</v>
      </c>
      <c r="B907" s="49">
        <v>69</v>
      </c>
      <c r="C907" s="12" t="s">
        <v>1744</v>
      </c>
      <c r="D907" s="61" t="s">
        <v>1111</v>
      </c>
      <c r="E907" s="63" t="s">
        <v>1112</v>
      </c>
      <c r="F907" s="53"/>
      <c r="G907" s="53">
        <v>12.919</v>
      </c>
      <c r="H907" s="53">
        <v>0.307</v>
      </c>
      <c r="I907" s="12">
        <f t="shared" si="279"/>
        <v>13.226000000000001</v>
      </c>
      <c r="J907" s="52">
        <v>15594</v>
      </c>
      <c r="K907" s="52"/>
      <c r="L907" s="52">
        <f t="shared" si="284"/>
        <v>15594</v>
      </c>
      <c r="M907" s="52">
        <f t="shared" si="285"/>
        <v>1179.0412823226977</v>
      </c>
      <c r="N907" s="12" t="e">
        <f t="shared" si="281"/>
        <v>#REF!</v>
      </c>
      <c r="O907" s="12" t="e">
        <f t="shared" si="282"/>
        <v>#REF!</v>
      </c>
      <c r="P907" s="12" t="e">
        <f t="shared" si="283"/>
        <v>#REF!</v>
      </c>
    </row>
    <row r="908" spans="1:16" ht="18.75" hidden="1" x14ac:dyDescent="0.3">
      <c r="A908" s="49">
        <v>16</v>
      </c>
      <c r="B908" s="49">
        <v>70</v>
      </c>
      <c r="C908" s="12" t="s">
        <v>1744</v>
      </c>
      <c r="D908" s="61" t="s">
        <v>1113</v>
      </c>
      <c r="E908" s="63" t="s">
        <v>1114</v>
      </c>
      <c r="F908" s="53"/>
      <c r="G908" s="53">
        <v>2.6240000000000001</v>
      </c>
      <c r="H908" s="53">
        <v>8.0000000000000002E-3</v>
      </c>
      <c r="I908" s="12">
        <f t="shared" si="279"/>
        <v>2.6320000000000001</v>
      </c>
      <c r="J908" s="52">
        <v>3150.9209999999998</v>
      </c>
      <c r="K908" s="52"/>
      <c r="L908" s="52">
        <f t="shared" si="284"/>
        <v>3150.9209999999998</v>
      </c>
      <c r="M908" s="52">
        <f t="shared" si="285"/>
        <v>1197.1584346504558</v>
      </c>
      <c r="N908" s="12" t="e">
        <f t="shared" si="281"/>
        <v>#REF!</v>
      </c>
      <c r="O908" s="12" t="e">
        <f t="shared" si="282"/>
        <v>#REF!</v>
      </c>
      <c r="P908" s="12" t="e">
        <f t="shared" si="283"/>
        <v>#REF!</v>
      </c>
    </row>
    <row r="909" spans="1:16" ht="37.5" hidden="1" x14ac:dyDescent="0.3">
      <c r="A909" s="49">
        <v>16</v>
      </c>
      <c r="B909" s="49">
        <v>71</v>
      </c>
      <c r="C909" s="12" t="s">
        <v>1744</v>
      </c>
      <c r="D909" s="61" t="s">
        <v>1115</v>
      </c>
      <c r="E909" s="63" t="s">
        <v>1116</v>
      </c>
      <c r="F909" s="53"/>
      <c r="G909" s="53">
        <v>3.29</v>
      </c>
      <c r="H909" s="53">
        <v>5.6000000000000001E-2</v>
      </c>
      <c r="I909" s="12">
        <f t="shared" si="279"/>
        <v>3.3460000000000001</v>
      </c>
      <c r="J909" s="52">
        <f>1309.5+514.026</f>
        <v>1823.5259999999998</v>
      </c>
      <c r="K909" s="52"/>
      <c r="L909" s="52">
        <f t="shared" si="284"/>
        <v>1823.5259999999998</v>
      </c>
      <c r="M909" s="52">
        <f t="shared" si="285"/>
        <v>544.98684997011355</v>
      </c>
      <c r="N909" s="12" t="e">
        <f t="shared" si="281"/>
        <v>#REF!</v>
      </c>
      <c r="O909" s="12" t="e">
        <f t="shared" si="282"/>
        <v>#REF!</v>
      </c>
      <c r="P909" s="12" t="e">
        <f t="shared" si="283"/>
        <v>#REF!</v>
      </c>
    </row>
    <row r="910" spans="1:16" ht="37.5" hidden="1" x14ac:dyDescent="0.3">
      <c r="A910" s="49">
        <v>16</v>
      </c>
      <c r="B910" s="49">
        <v>72</v>
      </c>
      <c r="C910" s="12" t="s">
        <v>1744</v>
      </c>
      <c r="D910" s="61" t="s">
        <v>1117</v>
      </c>
      <c r="E910" s="63" t="s">
        <v>0</v>
      </c>
      <c r="F910" s="53"/>
      <c r="G910" s="53">
        <v>7.899</v>
      </c>
      <c r="H910" s="53">
        <v>7.3999999999999996E-2</v>
      </c>
      <c r="I910" s="12">
        <f t="shared" si="279"/>
        <v>7.9729999999999999</v>
      </c>
      <c r="J910" s="52">
        <f>9327.7+1221.678+1377.238</f>
        <v>11926.616</v>
      </c>
      <c r="K910" s="52"/>
      <c r="L910" s="52">
        <f t="shared" si="284"/>
        <v>11926.616</v>
      </c>
      <c r="M910" s="52">
        <f t="shared" si="285"/>
        <v>1495.8755800827794</v>
      </c>
      <c r="N910" s="12" t="e">
        <f t="shared" si="281"/>
        <v>#REF!</v>
      </c>
      <c r="O910" s="12" t="e">
        <f t="shared" si="282"/>
        <v>#REF!</v>
      </c>
      <c r="P910" s="12" t="e">
        <f t="shared" si="283"/>
        <v>#REF!</v>
      </c>
    </row>
    <row r="911" spans="1:16" s="75" customFormat="1" ht="15.75" hidden="1" x14ac:dyDescent="0.25">
      <c r="A911" s="72">
        <v>17</v>
      </c>
      <c r="B911" s="72" t="s">
        <v>1126</v>
      </c>
      <c r="C911" s="73" t="s">
        <v>1161</v>
      </c>
      <c r="D911" s="74"/>
      <c r="E911" s="71" t="s">
        <v>1546</v>
      </c>
      <c r="F911" s="76"/>
      <c r="G911" s="71">
        <f t="shared" ref="G911:L911" si="286">G912+G913+G918+G935</f>
        <v>1162.7629999999999</v>
      </c>
      <c r="H911" s="71">
        <f t="shared" si="286"/>
        <v>3.2590000000000003</v>
      </c>
      <c r="I911" s="71">
        <f t="shared" si="286"/>
        <v>1166.0220000000002</v>
      </c>
      <c r="J911" s="71">
        <f t="shared" si="286"/>
        <v>1290058.2750000001</v>
      </c>
      <c r="K911" s="71">
        <f t="shared" si="286"/>
        <v>0</v>
      </c>
      <c r="L911" s="71">
        <f t="shared" si="286"/>
        <v>1290058.2750000001</v>
      </c>
      <c r="M911" s="71">
        <f>L911/I911</f>
        <v>1106.3755872530708</v>
      </c>
      <c r="N911" s="71" t="e">
        <f>M911/$M$1429</f>
        <v>#REF!</v>
      </c>
      <c r="O911" s="71" t="e">
        <f>O912+O913+O918+O935</f>
        <v>#REF!</v>
      </c>
      <c r="P911" s="71" t="e">
        <f>P912+P913+P918+P935</f>
        <v>#REF!</v>
      </c>
    </row>
    <row r="912" spans="1:16" ht="15.75" hidden="1" x14ac:dyDescent="0.25">
      <c r="A912" s="14">
        <v>17</v>
      </c>
      <c r="B912" s="14" t="s">
        <v>1126</v>
      </c>
      <c r="C912" s="8" t="s">
        <v>1159</v>
      </c>
      <c r="D912" s="28" t="s">
        <v>2346</v>
      </c>
      <c r="E912" s="12" t="s">
        <v>1160</v>
      </c>
      <c r="F912" s="1"/>
      <c r="G912" s="1">
        <v>0</v>
      </c>
      <c r="H912" s="1">
        <v>0</v>
      </c>
      <c r="I912" s="12">
        <f>H912+G912</f>
        <v>0</v>
      </c>
      <c r="J912" s="12"/>
      <c r="K912" s="12"/>
      <c r="L912" s="12"/>
      <c r="M912" s="12"/>
      <c r="N912" s="12"/>
      <c r="O912" s="12"/>
      <c r="P912" s="12"/>
    </row>
    <row r="913" spans="1:16" ht="15.75" hidden="1" x14ac:dyDescent="0.25">
      <c r="A913" s="15">
        <v>17</v>
      </c>
      <c r="B913" s="15" t="s">
        <v>1126</v>
      </c>
      <c r="C913" s="10" t="s">
        <v>1127</v>
      </c>
      <c r="D913" s="29"/>
      <c r="E913" s="37" t="s">
        <v>1128</v>
      </c>
      <c r="F913" s="6"/>
      <c r="G913" s="37">
        <f t="shared" ref="G913:L913" si="287">SUM(G914:G917)</f>
        <v>343.22899999999993</v>
      </c>
      <c r="H913" s="37">
        <f>SUM(H914:H917)</f>
        <v>1.827</v>
      </c>
      <c r="I913" s="37">
        <f t="shared" si="287"/>
        <v>345.05600000000004</v>
      </c>
      <c r="J913" s="37">
        <f t="shared" si="287"/>
        <v>709735.3280000001</v>
      </c>
      <c r="K913" s="37">
        <f t="shared" si="287"/>
        <v>0</v>
      </c>
      <c r="L913" s="37">
        <f t="shared" si="287"/>
        <v>709735.3280000001</v>
      </c>
      <c r="M913" s="37">
        <f t="shared" ref="M913:M959" si="288">L913/I913</f>
        <v>2056.8699805249003</v>
      </c>
      <c r="N913" s="37" t="e">
        <f>M913/$M$1429</f>
        <v>#REF!</v>
      </c>
      <c r="O913" s="37" t="e">
        <f>SUM(O914:O917)</f>
        <v>#REF!</v>
      </c>
      <c r="P913" s="37" t="e">
        <f>SUM(P914:P917)</f>
        <v>#REF!</v>
      </c>
    </row>
    <row r="914" spans="1:16" ht="15.75" hidden="1" x14ac:dyDescent="0.25">
      <c r="A914" s="14">
        <v>17</v>
      </c>
      <c r="B914" s="14" t="s">
        <v>1811</v>
      </c>
      <c r="C914" s="8" t="s">
        <v>1119</v>
      </c>
      <c r="D914" s="28" t="s">
        <v>2347</v>
      </c>
      <c r="E914" s="12" t="s">
        <v>1527</v>
      </c>
      <c r="F914" s="1"/>
      <c r="G914" s="1">
        <v>247.35599999999999</v>
      </c>
      <c r="H914" s="1">
        <v>1.5069999999999999</v>
      </c>
      <c r="I914" s="12">
        <f>H914+G914</f>
        <v>248.863</v>
      </c>
      <c r="J914" s="12">
        <v>481181.25900000002</v>
      </c>
      <c r="K914" s="12"/>
      <c r="L914" s="12">
        <f>J914+K914</f>
        <v>481181.25900000002</v>
      </c>
      <c r="M914" s="12">
        <f t="shared" si="288"/>
        <v>1933.5186789518732</v>
      </c>
      <c r="N914" s="12" t="e">
        <f>M914/$M$1431</f>
        <v>#REF!</v>
      </c>
      <c r="O914" s="12" t="e">
        <f>ROUND(IF(N914&lt;110%,0,(M914-$M$1431*1.1)*0.8)*I914,1)</f>
        <v>#REF!</v>
      </c>
      <c r="P914" s="12" t="e">
        <f>ROUND(IF(N914&gt;90%,0,(-M914+$M$1431*0.9)*0.8)*I914,1)</f>
        <v>#REF!</v>
      </c>
    </row>
    <row r="915" spans="1:16" ht="15.75" hidden="1" x14ac:dyDescent="0.25">
      <c r="A915" s="14">
        <v>17</v>
      </c>
      <c r="B915" s="14" t="s">
        <v>1810</v>
      </c>
      <c r="C915" s="8" t="s">
        <v>1119</v>
      </c>
      <c r="D915" s="28" t="s">
        <v>2348</v>
      </c>
      <c r="E915" s="12" t="s">
        <v>1528</v>
      </c>
      <c r="F915" s="1"/>
      <c r="G915" s="1">
        <v>38.039000000000001</v>
      </c>
      <c r="H915" s="1">
        <v>0.20300000000000001</v>
      </c>
      <c r="I915" s="12">
        <f>H915+G915</f>
        <v>38.242000000000004</v>
      </c>
      <c r="J915" s="12">
        <v>44862.925999999999</v>
      </c>
      <c r="K915" s="12"/>
      <c r="L915" s="12">
        <f>J915+K915</f>
        <v>44862.925999999999</v>
      </c>
      <c r="M915" s="12">
        <f t="shared" si="288"/>
        <v>1173.132315255478</v>
      </c>
      <c r="N915" s="12" t="e">
        <f>M915/$M$1431</f>
        <v>#REF!</v>
      </c>
      <c r="O915" s="12" t="e">
        <f>ROUND(IF(N915&lt;110%,0,(M915-$M$1431*1.1)*0.8)*I915,1)</f>
        <v>#REF!</v>
      </c>
      <c r="P915" s="12" t="e">
        <f>ROUND(IF(N915&gt;90%,0,(-M915+$M$1431*0.9)*0.8)*I915,1)</f>
        <v>#REF!</v>
      </c>
    </row>
    <row r="916" spans="1:16" ht="15.75" hidden="1" x14ac:dyDescent="0.25">
      <c r="A916" s="14">
        <v>17</v>
      </c>
      <c r="B916" s="14" t="s">
        <v>1850</v>
      </c>
      <c r="C916" s="8" t="s">
        <v>1119</v>
      </c>
      <c r="D916" s="28" t="s">
        <v>2349</v>
      </c>
      <c r="E916" s="12" t="s">
        <v>869</v>
      </c>
      <c r="F916" s="1"/>
      <c r="G916" s="1">
        <v>42.16</v>
      </c>
      <c r="H916" s="1">
        <v>7.2999999999999995E-2</v>
      </c>
      <c r="I916" s="12">
        <f>H916+G916</f>
        <v>42.232999999999997</v>
      </c>
      <c r="J916" s="12">
        <v>166794.807</v>
      </c>
      <c r="K916" s="12"/>
      <c r="L916" s="12">
        <f>J916+K916</f>
        <v>166794.807</v>
      </c>
      <c r="M916" s="12">
        <f t="shared" si="288"/>
        <v>3949.3951885965953</v>
      </c>
      <c r="N916" s="12" t="e">
        <f>M916/$M$1431</f>
        <v>#REF!</v>
      </c>
      <c r="O916" s="12" t="e">
        <f>ROUND(IF(N916&lt;110%,0,(M916-$M$1431*1.1)*0.8)*I916,1)</f>
        <v>#REF!</v>
      </c>
      <c r="P916" s="12" t="e">
        <f>ROUND(IF(N916&gt;90%,0,(-M916+$M$1431*0.9)*0.8)*I916,1)</f>
        <v>#REF!</v>
      </c>
    </row>
    <row r="917" spans="1:16" ht="15.75" hidden="1" x14ac:dyDescent="0.25">
      <c r="A917" s="14">
        <v>17</v>
      </c>
      <c r="B917" s="14" t="s">
        <v>1855</v>
      </c>
      <c r="C917" s="8" t="s">
        <v>1119</v>
      </c>
      <c r="D917" s="28" t="s">
        <v>2350</v>
      </c>
      <c r="E917" s="12" t="s">
        <v>1529</v>
      </c>
      <c r="F917" s="1"/>
      <c r="G917" s="1">
        <v>15.673999999999999</v>
      </c>
      <c r="H917" s="1">
        <v>4.3999999999999997E-2</v>
      </c>
      <c r="I917" s="12">
        <f>H917+G917</f>
        <v>15.718</v>
      </c>
      <c r="J917" s="12">
        <v>16896.335999999999</v>
      </c>
      <c r="K917" s="12"/>
      <c r="L917" s="12">
        <f>J917+K917</f>
        <v>16896.335999999999</v>
      </c>
      <c r="M917" s="12">
        <f t="shared" si="288"/>
        <v>1074.9672986385035</v>
      </c>
      <c r="N917" s="12" t="e">
        <f>M917/$M$1431</f>
        <v>#REF!</v>
      </c>
      <c r="O917" s="12" t="e">
        <f>ROUND(IF(N917&lt;110%,0,(M917-$M$1431*1.1)*0.8)*I917,1)</f>
        <v>#REF!</v>
      </c>
      <c r="P917" s="12" t="e">
        <f>ROUND(IF(N917&gt;90%,0,(-M917+$M$1431*0.9)*0.8)*I917,1)</f>
        <v>#REF!</v>
      </c>
    </row>
    <row r="918" spans="1:16" ht="15.75" hidden="1" x14ac:dyDescent="0.25">
      <c r="A918" s="15">
        <v>17</v>
      </c>
      <c r="B918" s="15" t="s">
        <v>1126</v>
      </c>
      <c r="C918" s="10" t="s">
        <v>1157</v>
      </c>
      <c r="D918" s="29"/>
      <c r="E918" s="37" t="s">
        <v>1158</v>
      </c>
      <c r="F918" s="6"/>
      <c r="G918" s="37">
        <f t="shared" ref="G918:L918" si="289">SUM(G919:G934)</f>
        <v>647.31099999999992</v>
      </c>
      <c r="H918" s="37">
        <f>SUM(H919:H934)</f>
        <v>1.2270000000000001</v>
      </c>
      <c r="I918" s="37">
        <f t="shared" si="289"/>
        <v>648.53800000000001</v>
      </c>
      <c r="J918" s="37">
        <f t="shared" si="289"/>
        <v>431261.98800000001</v>
      </c>
      <c r="K918" s="37">
        <f t="shared" si="289"/>
        <v>0</v>
      </c>
      <c r="L918" s="37">
        <f t="shared" si="289"/>
        <v>431261.98800000001</v>
      </c>
      <c r="M918" s="37">
        <f t="shared" si="288"/>
        <v>664.97566526556659</v>
      </c>
      <c r="N918" s="37" t="e">
        <f>M918/$M$1429</f>
        <v>#REF!</v>
      </c>
      <c r="O918" s="37" t="e">
        <f>SUM(O919:O934)</f>
        <v>#REF!</v>
      </c>
      <c r="P918" s="37" t="e">
        <f>SUM(P919:P934)</f>
        <v>#REF!</v>
      </c>
    </row>
    <row r="919" spans="1:16" ht="15.75" hidden="1" x14ac:dyDescent="0.25">
      <c r="A919" s="14">
        <v>17</v>
      </c>
      <c r="B919" s="14" t="s">
        <v>1818</v>
      </c>
      <c r="C919" s="8" t="s">
        <v>1129</v>
      </c>
      <c r="D919" s="28" t="s">
        <v>2351</v>
      </c>
      <c r="E919" s="12" t="s">
        <v>1530</v>
      </c>
      <c r="F919" s="1"/>
      <c r="G919" s="1">
        <v>64.021000000000001</v>
      </c>
      <c r="H919" s="1">
        <v>0.11600000000000001</v>
      </c>
      <c r="I919" s="12">
        <f t="shared" ref="I919:I934" si="290">H919+G919</f>
        <v>64.137</v>
      </c>
      <c r="J919" s="12">
        <v>37026.03</v>
      </c>
      <c r="K919" s="12"/>
      <c r="L919" s="12">
        <f t="shared" ref="L919:L934" si="291">J919+K919</f>
        <v>37026.03</v>
      </c>
      <c r="M919" s="12">
        <f t="shared" si="288"/>
        <v>577.29594461855095</v>
      </c>
      <c r="N919" s="12" t="e">
        <f t="shared" ref="N919:N934" si="292">M919/$M$1432</f>
        <v>#REF!</v>
      </c>
      <c r="O919" s="12" t="e">
        <f t="shared" ref="O919:O934" si="293">ROUND(IF(N919&lt;110%,0,(M919-$M$1432*1.1)*0.8)*I919,1)</f>
        <v>#REF!</v>
      </c>
      <c r="P919" s="12" t="e">
        <f t="shared" ref="P919:P934" si="294">ROUND(IF(N919&gt;90%,0,(-M919+$M$1432*0.9)*0.8)*I919,1)</f>
        <v>#REF!</v>
      </c>
    </row>
    <row r="920" spans="1:16" ht="15.75" hidden="1" x14ac:dyDescent="0.25">
      <c r="A920" s="14">
        <v>17</v>
      </c>
      <c r="B920" s="14" t="s">
        <v>1820</v>
      </c>
      <c r="C920" s="8" t="s">
        <v>1129</v>
      </c>
      <c r="D920" s="28" t="s">
        <v>2352</v>
      </c>
      <c r="E920" s="12" t="s">
        <v>1531</v>
      </c>
      <c r="F920" s="1"/>
      <c r="G920" s="1">
        <v>64.974999999999994</v>
      </c>
      <c r="H920" s="1">
        <v>8.5999999999999993E-2</v>
      </c>
      <c r="I920" s="12">
        <f t="shared" si="290"/>
        <v>65.060999999999993</v>
      </c>
      <c r="J920" s="12">
        <v>28221.78</v>
      </c>
      <c r="K920" s="12"/>
      <c r="L920" s="12">
        <f t="shared" si="291"/>
        <v>28221.78</v>
      </c>
      <c r="M920" s="12">
        <f t="shared" si="288"/>
        <v>433.77415041268966</v>
      </c>
      <c r="N920" s="12" t="e">
        <f t="shared" si="292"/>
        <v>#REF!</v>
      </c>
      <c r="O920" s="12" t="e">
        <f t="shared" si="293"/>
        <v>#REF!</v>
      </c>
      <c r="P920" s="12" t="e">
        <f t="shared" si="294"/>
        <v>#REF!</v>
      </c>
    </row>
    <row r="921" spans="1:16" ht="15.75" hidden="1" x14ac:dyDescent="0.25">
      <c r="A921" s="14">
        <v>17</v>
      </c>
      <c r="B921" s="14" t="s">
        <v>1822</v>
      </c>
      <c r="C921" s="8" t="s">
        <v>1129</v>
      </c>
      <c r="D921" s="28" t="s">
        <v>2353</v>
      </c>
      <c r="E921" s="12" t="s">
        <v>1532</v>
      </c>
      <c r="F921" s="1"/>
      <c r="G921" s="1">
        <v>27.620999999999999</v>
      </c>
      <c r="H921" s="1">
        <v>2.8000000000000001E-2</v>
      </c>
      <c r="I921" s="12">
        <f t="shared" si="290"/>
        <v>27.648999999999997</v>
      </c>
      <c r="J921" s="12">
        <v>26183.632000000001</v>
      </c>
      <c r="K921" s="12"/>
      <c r="L921" s="12">
        <f t="shared" si="291"/>
        <v>26183.632000000001</v>
      </c>
      <c r="M921" s="12">
        <f t="shared" si="288"/>
        <v>947.00104886252677</v>
      </c>
      <c r="N921" s="12" t="e">
        <f t="shared" si="292"/>
        <v>#REF!</v>
      </c>
      <c r="O921" s="12" t="e">
        <f t="shared" si="293"/>
        <v>#REF!</v>
      </c>
      <c r="P921" s="12" t="e">
        <f t="shared" si="294"/>
        <v>#REF!</v>
      </c>
    </row>
    <row r="922" spans="1:16" ht="15.75" hidden="1" x14ac:dyDescent="0.25">
      <c r="A922" s="14">
        <v>17</v>
      </c>
      <c r="B922" s="14" t="s">
        <v>1824</v>
      </c>
      <c r="C922" s="8" t="s">
        <v>1129</v>
      </c>
      <c r="D922" s="28" t="s">
        <v>2354</v>
      </c>
      <c r="E922" s="12" t="s">
        <v>1533</v>
      </c>
      <c r="F922" s="1"/>
      <c r="G922" s="1">
        <v>1.2030000000000001</v>
      </c>
      <c r="H922" s="1">
        <v>1.4E-2</v>
      </c>
      <c r="I922" s="12">
        <f t="shared" si="290"/>
        <v>1.2170000000000001</v>
      </c>
      <c r="J922" s="12">
        <f>8418.874-7782.98</f>
        <v>635.89400000000023</v>
      </c>
      <c r="K922" s="12"/>
      <c r="L922" s="12">
        <f t="shared" si="291"/>
        <v>635.89400000000023</v>
      </c>
      <c r="M922" s="12">
        <f t="shared" si="288"/>
        <v>522.50944946589993</v>
      </c>
      <c r="N922" s="12" t="e">
        <f t="shared" si="292"/>
        <v>#REF!</v>
      </c>
      <c r="O922" s="12" t="e">
        <f t="shared" si="293"/>
        <v>#REF!</v>
      </c>
      <c r="P922" s="12" t="e">
        <f t="shared" si="294"/>
        <v>#REF!</v>
      </c>
    </row>
    <row r="923" spans="1:16" ht="15.75" hidden="1" x14ac:dyDescent="0.25">
      <c r="A923" s="14">
        <v>17</v>
      </c>
      <c r="B923" s="14" t="s">
        <v>1826</v>
      </c>
      <c r="C923" s="8" t="s">
        <v>1129</v>
      </c>
      <c r="D923" s="28" t="s">
        <v>2355</v>
      </c>
      <c r="E923" s="12" t="s">
        <v>1534</v>
      </c>
      <c r="F923" s="1"/>
      <c r="G923" s="1">
        <v>24.33</v>
      </c>
      <c r="H923" s="1">
        <v>7.0000000000000007E-2</v>
      </c>
      <c r="I923" s="12">
        <f t="shared" si="290"/>
        <v>24.4</v>
      </c>
      <c r="J923" s="12">
        <f>18425.182-2599.952</f>
        <v>15825.23</v>
      </c>
      <c r="K923" s="12"/>
      <c r="L923" s="12">
        <f t="shared" si="291"/>
        <v>15825.23</v>
      </c>
      <c r="M923" s="12">
        <f t="shared" si="288"/>
        <v>648.57500000000005</v>
      </c>
      <c r="N923" s="12" t="e">
        <f t="shared" si="292"/>
        <v>#REF!</v>
      </c>
      <c r="O923" s="12" t="e">
        <f t="shared" si="293"/>
        <v>#REF!</v>
      </c>
      <c r="P923" s="12" t="e">
        <f t="shared" si="294"/>
        <v>#REF!</v>
      </c>
    </row>
    <row r="924" spans="1:16" ht="15.75" hidden="1" x14ac:dyDescent="0.25">
      <c r="A924" s="14">
        <v>17</v>
      </c>
      <c r="B924" s="14">
        <v>10</v>
      </c>
      <c r="C924" s="8" t="s">
        <v>1129</v>
      </c>
      <c r="D924" s="28" t="s">
        <v>2356</v>
      </c>
      <c r="E924" s="12" t="s">
        <v>1535</v>
      </c>
      <c r="F924" s="1"/>
      <c r="G924" s="1">
        <v>36.963999999999999</v>
      </c>
      <c r="H924" s="1">
        <v>6.9000000000000006E-2</v>
      </c>
      <c r="I924" s="12">
        <f t="shared" si="290"/>
        <v>37.033000000000001</v>
      </c>
      <c r="J924" s="12">
        <v>19897.127</v>
      </c>
      <c r="K924" s="12"/>
      <c r="L924" s="12">
        <f t="shared" si="291"/>
        <v>19897.127</v>
      </c>
      <c r="M924" s="12">
        <f t="shared" si="288"/>
        <v>537.28099262819649</v>
      </c>
      <c r="N924" s="12" t="e">
        <f t="shared" si="292"/>
        <v>#REF!</v>
      </c>
      <c r="O924" s="12" t="e">
        <f t="shared" si="293"/>
        <v>#REF!</v>
      </c>
      <c r="P924" s="12" t="e">
        <f t="shared" si="294"/>
        <v>#REF!</v>
      </c>
    </row>
    <row r="925" spans="1:16" ht="15.75" hidden="1" x14ac:dyDescent="0.25">
      <c r="A925" s="14">
        <v>17</v>
      </c>
      <c r="B925" s="14">
        <v>11</v>
      </c>
      <c r="C925" s="8" t="s">
        <v>1129</v>
      </c>
      <c r="D925" s="28" t="s">
        <v>2357</v>
      </c>
      <c r="E925" s="12" t="s">
        <v>1536</v>
      </c>
      <c r="F925" s="1"/>
      <c r="G925" s="1">
        <v>30.152000000000001</v>
      </c>
      <c r="H925" s="1">
        <v>4.7E-2</v>
      </c>
      <c r="I925" s="12">
        <f t="shared" si="290"/>
        <v>30.199000000000002</v>
      </c>
      <c r="J925" s="12">
        <v>13400.556</v>
      </c>
      <c r="K925" s="12"/>
      <c r="L925" s="12">
        <f t="shared" si="291"/>
        <v>13400.556</v>
      </c>
      <c r="M925" s="12">
        <f t="shared" si="288"/>
        <v>443.74171330176495</v>
      </c>
      <c r="N925" s="12" t="e">
        <f t="shared" si="292"/>
        <v>#REF!</v>
      </c>
      <c r="O925" s="12" t="e">
        <f t="shared" si="293"/>
        <v>#REF!</v>
      </c>
      <c r="P925" s="12" t="e">
        <f t="shared" si="294"/>
        <v>#REF!</v>
      </c>
    </row>
    <row r="926" spans="1:16" ht="15.75" hidden="1" x14ac:dyDescent="0.25">
      <c r="A926" s="14">
        <v>17</v>
      </c>
      <c r="B926" s="14">
        <v>12</v>
      </c>
      <c r="C926" s="8" t="s">
        <v>1129</v>
      </c>
      <c r="D926" s="28" t="s">
        <v>2358</v>
      </c>
      <c r="E926" s="12" t="s">
        <v>1537</v>
      </c>
      <c r="F926" s="1"/>
      <c r="G926" s="1">
        <v>57.027999999999999</v>
      </c>
      <c r="H926" s="1">
        <v>0.111</v>
      </c>
      <c r="I926" s="12">
        <f t="shared" si="290"/>
        <v>57.138999999999996</v>
      </c>
      <c r="J926" s="12">
        <v>57377.847999999998</v>
      </c>
      <c r="K926" s="12"/>
      <c r="L926" s="12">
        <f t="shared" si="291"/>
        <v>57377.847999999998</v>
      </c>
      <c r="M926" s="12">
        <f t="shared" si="288"/>
        <v>1004.1801221582457</v>
      </c>
      <c r="N926" s="12" t="e">
        <f t="shared" si="292"/>
        <v>#REF!</v>
      </c>
      <c r="O926" s="12" t="e">
        <f t="shared" si="293"/>
        <v>#REF!</v>
      </c>
      <c r="P926" s="12" t="e">
        <f t="shared" si="294"/>
        <v>#REF!</v>
      </c>
    </row>
    <row r="927" spans="1:16" ht="15.75" hidden="1" x14ac:dyDescent="0.25">
      <c r="A927" s="14">
        <v>17</v>
      </c>
      <c r="B927" s="14">
        <v>13</v>
      </c>
      <c r="C927" s="8" t="s">
        <v>1129</v>
      </c>
      <c r="D927" s="28" t="s">
        <v>2359</v>
      </c>
      <c r="E927" s="12" t="s">
        <v>1538</v>
      </c>
      <c r="F927" s="1"/>
      <c r="G927" s="1">
        <v>33.579000000000001</v>
      </c>
      <c r="H927" s="1">
        <v>5.0999999999999997E-2</v>
      </c>
      <c r="I927" s="12">
        <f t="shared" si="290"/>
        <v>33.630000000000003</v>
      </c>
      <c r="J927" s="12">
        <v>18257.330000000002</v>
      </c>
      <c r="K927" s="12"/>
      <c r="L927" s="12">
        <f t="shared" si="291"/>
        <v>18257.330000000002</v>
      </c>
      <c r="M927" s="12">
        <f t="shared" si="288"/>
        <v>542.88819506393099</v>
      </c>
      <c r="N927" s="12" t="e">
        <f t="shared" si="292"/>
        <v>#REF!</v>
      </c>
      <c r="O927" s="12" t="e">
        <f t="shared" si="293"/>
        <v>#REF!</v>
      </c>
      <c r="P927" s="12" t="e">
        <f t="shared" si="294"/>
        <v>#REF!</v>
      </c>
    </row>
    <row r="928" spans="1:16" ht="15.75" hidden="1" x14ac:dyDescent="0.25">
      <c r="A928" s="14">
        <v>17</v>
      </c>
      <c r="B928" s="14">
        <v>14</v>
      </c>
      <c r="C928" s="8" t="s">
        <v>1129</v>
      </c>
      <c r="D928" s="28" t="s">
        <v>2360</v>
      </c>
      <c r="E928" s="12" t="s">
        <v>1539</v>
      </c>
      <c r="F928" s="1"/>
      <c r="G928" s="1">
        <v>49.463999999999999</v>
      </c>
      <c r="H928" s="1">
        <v>0.111</v>
      </c>
      <c r="I928" s="12">
        <f t="shared" si="290"/>
        <v>49.574999999999996</v>
      </c>
      <c r="J928" s="12">
        <f>43412.923-1566.898</f>
        <v>41846.025000000001</v>
      </c>
      <c r="K928" s="12"/>
      <c r="L928" s="12">
        <f t="shared" si="291"/>
        <v>41846.025000000001</v>
      </c>
      <c r="M928" s="12">
        <f t="shared" si="288"/>
        <v>844.09531013615742</v>
      </c>
      <c r="N928" s="12" t="e">
        <f t="shared" si="292"/>
        <v>#REF!</v>
      </c>
      <c r="O928" s="12" t="e">
        <f t="shared" si="293"/>
        <v>#REF!</v>
      </c>
      <c r="P928" s="12" t="e">
        <f t="shared" si="294"/>
        <v>#REF!</v>
      </c>
    </row>
    <row r="929" spans="1:16" ht="15.75" hidden="1" x14ac:dyDescent="0.25">
      <c r="A929" s="14">
        <v>17</v>
      </c>
      <c r="B929" s="14">
        <v>15</v>
      </c>
      <c r="C929" s="8" t="s">
        <v>1129</v>
      </c>
      <c r="D929" s="28" t="s">
        <v>2361</v>
      </c>
      <c r="E929" s="12" t="s">
        <v>1540</v>
      </c>
      <c r="F929" s="1"/>
      <c r="G929" s="1">
        <v>2.6560000000000001</v>
      </c>
      <c r="H929" s="1">
        <v>5.0000000000000001E-3</v>
      </c>
      <c r="I929" s="12">
        <f t="shared" si="290"/>
        <v>2.661</v>
      </c>
      <c r="J929" s="12">
        <f>8118.32-3618.007-2970.984</f>
        <v>1529.3290000000002</v>
      </c>
      <c r="K929" s="12"/>
      <c r="L929" s="12">
        <f t="shared" si="291"/>
        <v>1529.3290000000002</v>
      </c>
      <c r="M929" s="12">
        <f t="shared" si="288"/>
        <v>574.71965426531381</v>
      </c>
      <c r="N929" s="12" t="e">
        <f t="shared" si="292"/>
        <v>#REF!</v>
      </c>
      <c r="O929" s="12" t="e">
        <f t="shared" si="293"/>
        <v>#REF!</v>
      </c>
      <c r="P929" s="12" t="e">
        <f t="shared" si="294"/>
        <v>#REF!</v>
      </c>
    </row>
    <row r="930" spans="1:16" ht="15.75" hidden="1" x14ac:dyDescent="0.25">
      <c r="A930" s="14">
        <v>17</v>
      </c>
      <c r="B930" s="14">
        <v>16</v>
      </c>
      <c r="C930" s="8" t="s">
        <v>1129</v>
      </c>
      <c r="D930" s="28" t="s">
        <v>2362</v>
      </c>
      <c r="E930" s="12" t="s">
        <v>1541</v>
      </c>
      <c r="F930" s="1"/>
      <c r="G930" s="1">
        <v>28.555</v>
      </c>
      <c r="H930" s="1">
        <v>4.7E-2</v>
      </c>
      <c r="I930" s="12">
        <f t="shared" si="290"/>
        <v>28.602</v>
      </c>
      <c r="J930" s="12">
        <v>13245.531000000001</v>
      </c>
      <c r="K930" s="12"/>
      <c r="L930" s="12">
        <f t="shared" si="291"/>
        <v>13245.531000000001</v>
      </c>
      <c r="M930" s="12">
        <f t="shared" si="288"/>
        <v>463.09807006503047</v>
      </c>
      <c r="N930" s="12" t="e">
        <f t="shared" si="292"/>
        <v>#REF!</v>
      </c>
      <c r="O930" s="12" t="e">
        <f t="shared" si="293"/>
        <v>#REF!</v>
      </c>
      <c r="P930" s="12" t="e">
        <f t="shared" si="294"/>
        <v>#REF!</v>
      </c>
    </row>
    <row r="931" spans="1:16" ht="15.75" hidden="1" x14ac:dyDescent="0.25">
      <c r="A931" s="14">
        <v>17</v>
      </c>
      <c r="B931" s="14">
        <v>17</v>
      </c>
      <c r="C931" s="8" t="s">
        <v>1129</v>
      </c>
      <c r="D931" s="28" t="s">
        <v>2363</v>
      </c>
      <c r="E931" s="12" t="s">
        <v>1542</v>
      </c>
      <c r="F931" s="1"/>
      <c r="G931" s="1">
        <v>6.6020000000000003</v>
      </c>
      <c r="H931" s="1">
        <v>0.01</v>
      </c>
      <c r="I931" s="12">
        <f t="shared" si="290"/>
        <v>6.6120000000000001</v>
      </c>
      <c r="J931" s="12">
        <f>4198.961-1089.128</f>
        <v>3109.8330000000005</v>
      </c>
      <c r="K931" s="12"/>
      <c r="L931" s="12">
        <f t="shared" si="291"/>
        <v>3109.8330000000005</v>
      </c>
      <c r="M931" s="12">
        <f t="shared" si="288"/>
        <v>470.33166969147015</v>
      </c>
      <c r="N931" s="12" t="e">
        <f t="shared" si="292"/>
        <v>#REF!</v>
      </c>
      <c r="O931" s="12" t="e">
        <f t="shared" si="293"/>
        <v>#REF!</v>
      </c>
      <c r="P931" s="12" t="e">
        <f t="shared" si="294"/>
        <v>#REF!</v>
      </c>
    </row>
    <row r="932" spans="1:16" ht="15.75" hidden="1" x14ac:dyDescent="0.25">
      <c r="A932" s="14">
        <v>17</v>
      </c>
      <c r="B932" s="14">
        <v>18</v>
      </c>
      <c r="C932" s="8" t="s">
        <v>1129</v>
      </c>
      <c r="D932" s="28" t="s">
        <v>2364</v>
      </c>
      <c r="E932" s="12" t="s">
        <v>1543</v>
      </c>
      <c r="F932" s="1"/>
      <c r="G932" s="1">
        <v>80.647999999999996</v>
      </c>
      <c r="H932" s="1">
        <v>0.17499999999999999</v>
      </c>
      <c r="I932" s="12">
        <f t="shared" si="290"/>
        <v>80.822999999999993</v>
      </c>
      <c r="J932" s="12">
        <f>94064.519-28795.83</f>
        <v>65268.688999999998</v>
      </c>
      <c r="K932" s="12"/>
      <c r="L932" s="12">
        <f t="shared" si="291"/>
        <v>65268.688999999998</v>
      </c>
      <c r="M932" s="12">
        <f t="shared" si="288"/>
        <v>807.55093228412704</v>
      </c>
      <c r="N932" s="12" t="e">
        <f t="shared" si="292"/>
        <v>#REF!</v>
      </c>
      <c r="O932" s="12" t="e">
        <f t="shared" si="293"/>
        <v>#REF!</v>
      </c>
      <c r="P932" s="12" t="e">
        <f t="shared" si="294"/>
        <v>#REF!</v>
      </c>
    </row>
    <row r="933" spans="1:16" ht="15.75" hidden="1" x14ac:dyDescent="0.25">
      <c r="A933" s="14">
        <v>17</v>
      </c>
      <c r="B933" s="14">
        <v>19</v>
      </c>
      <c r="C933" s="8" t="s">
        <v>1129</v>
      </c>
      <c r="D933" s="28" t="s">
        <v>2365</v>
      </c>
      <c r="E933" s="12" t="s">
        <v>1544</v>
      </c>
      <c r="F933" s="1"/>
      <c r="G933" s="1">
        <v>57.179000000000002</v>
      </c>
      <c r="H933" s="1">
        <v>0.105</v>
      </c>
      <c r="I933" s="12">
        <f t="shared" si="290"/>
        <v>57.283999999999999</v>
      </c>
      <c r="J933" s="12">
        <v>30880.45</v>
      </c>
      <c r="K933" s="12"/>
      <c r="L933" s="12">
        <f t="shared" si="291"/>
        <v>30880.45</v>
      </c>
      <c r="M933" s="12">
        <f t="shared" si="288"/>
        <v>539.07635639969283</v>
      </c>
      <c r="N933" s="12" t="e">
        <f t="shared" si="292"/>
        <v>#REF!</v>
      </c>
      <c r="O933" s="12" t="e">
        <f t="shared" si="293"/>
        <v>#REF!</v>
      </c>
      <c r="P933" s="12" t="e">
        <f t="shared" si="294"/>
        <v>#REF!</v>
      </c>
    </row>
    <row r="934" spans="1:16" ht="15.75" hidden="1" x14ac:dyDescent="0.25">
      <c r="A934" s="14">
        <v>17</v>
      </c>
      <c r="B934" s="14">
        <v>20</v>
      </c>
      <c r="C934" s="8" t="s">
        <v>1129</v>
      </c>
      <c r="D934" s="28" t="s">
        <v>2366</v>
      </c>
      <c r="E934" s="12" t="s">
        <v>1545</v>
      </c>
      <c r="F934" s="1"/>
      <c r="G934" s="1">
        <v>82.334000000000003</v>
      </c>
      <c r="H934" s="1">
        <v>0.182</v>
      </c>
      <c r="I934" s="12">
        <f t="shared" si="290"/>
        <v>82.516000000000005</v>
      </c>
      <c r="J934" s="12">
        <f>62493.977-3937.273</f>
        <v>58556.703999999998</v>
      </c>
      <c r="K934" s="12"/>
      <c r="L934" s="12">
        <f t="shared" si="291"/>
        <v>58556.703999999998</v>
      </c>
      <c r="M934" s="12">
        <f t="shared" si="288"/>
        <v>709.6406030345629</v>
      </c>
      <c r="N934" s="12" t="e">
        <f t="shared" si="292"/>
        <v>#REF!</v>
      </c>
      <c r="O934" s="12" t="e">
        <f t="shared" si="293"/>
        <v>#REF!</v>
      </c>
      <c r="P934" s="12" t="e">
        <f t="shared" si="294"/>
        <v>#REF!</v>
      </c>
    </row>
    <row r="935" spans="1:16" ht="15.75" hidden="1" x14ac:dyDescent="0.25">
      <c r="A935" s="15">
        <v>17</v>
      </c>
      <c r="B935" s="15" t="s">
        <v>1126</v>
      </c>
      <c r="C935" s="10" t="s">
        <v>1743</v>
      </c>
      <c r="D935" s="29"/>
      <c r="E935" s="37" t="s">
        <v>1747</v>
      </c>
      <c r="F935" s="6"/>
      <c r="G935" s="37">
        <f t="shared" ref="G935:L935" si="295">SUM(G936:G960)</f>
        <v>172.22300000000004</v>
      </c>
      <c r="H935" s="37">
        <f>SUM(H936:H960)</f>
        <v>0.20500000000000004</v>
      </c>
      <c r="I935" s="37">
        <f t="shared" si="295"/>
        <v>172.42800000000003</v>
      </c>
      <c r="J935" s="37">
        <f t="shared" si="295"/>
        <v>149060.95899999997</v>
      </c>
      <c r="K935" s="37">
        <f t="shared" si="295"/>
        <v>0</v>
      </c>
      <c r="L935" s="37">
        <f t="shared" si="295"/>
        <v>149060.95899999997</v>
      </c>
      <c r="M935" s="37">
        <f t="shared" si="288"/>
        <v>864.48232885610196</v>
      </c>
      <c r="N935" s="37" t="e">
        <f>M935/$M$1429</f>
        <v>#REF!</v>
      </c>
      <c r="O935" s="37" t="e">
        <f>SUM(O936:O960)</f>
        <v>#REF!</v>
      </c>
      <c r="P935" s="37" t="e">
        <f>SUM(P936:P960)</f>
        <v>#REF!</v>
      </c>
    </row>
    <row r="936" spans="1:16" ht="15.75" hidden="1" x14ac:dyDescent="0.25">
      <c r="A936" s="14">
        <v>17</v>
      </c>
      <c r="B936" s="14">
        <v>21</v>
      </c>
      <c r="C936" s="8" t="s">
        <v>1744</v>
      </c>
      <c r="D936" s="28" t="s">
        <v>2367</v>
      </c>
      <c r="E936" s="12" t="s">
        <v>1783</v>
      </c>
      <c r="F936" s="1"/>
      <c r="G936" s="1">
        <v>3.3010000000000002</v>
      </c>
      <c r="H936" s="1">
        <v>1E-3</v>
      </c>
      <c r="I936" s="12">
        <f t="shared" ref="I936:I960" si="296">H936+G936</f>
        <v>3.302</v>
      </c>
      <c r="J936" s="12">
        <v>1296.8030000000001</v>
      </c>
      <c r="K936" s="12"/>
      <c r="L936" s="12">
        <f t="shared" ref="L936:L959" si="297">J936+K936</f>
        <v>1296.8030000000001</v>
      </c>
      <c r="M936" s="12">
        <f t="shared" si="288"/>
        <v>392.73258631132649</v>
      </c>
      <c r="N936" s="12" t="e">
        <f t="shared" ref="N936:N960" si="298">M936/$M$1433</f>
        <v>#REF!</v>
      </c>
      <c r="O936" s="12" t="e">
        <f t="shared" ref="O936:O960" si="299">ROUND(IF(N936&lt;110%,0,(M936-$M$1433*1.1)*0.8)*I936,1)</f>
        <v>#REF!</v>
      </c>
      <c r="P936" s="12" t="e">
        <f t="shared" ref="P936:P960" si="300">ROUND(IF(N936&gt;90%,0,(-M936+$M$1433*0.9)*0.8)*I936,1)</f>
        <v>#REF!</v>
      </c>
    </row>
    <row r="937" spans="1:16" ht="15.75" hidden="1" x14ac:dyDescent="0.25">
      <c r="A937" s="14">
        <v>17</v>
      </c>
      <c r="B937" s="14">
        <v>22</v>
      </c>
      <c r="C937" s="8" t="s">
        <v>1744</v>
      </c>
      <c r="D937" s="28" t="s">
        <v>2368</v>
      </c>
      <c r="E937" s="12" t="s">
        <v>1784</v>
      </c>
      <c r="F937" s="1"/>
      <c r="G937" s="1">
        <v>4.2880000000000003</v>
      </c>
      <c r="H937" s="1">
        <v>5.0000000000000001E-3</v>
      </c>
      <c r="I937" s="12">
        <f t="shared" si="296"/>
        <v>4.2930000000000001</v>
      </c>
      <c r="J937" s="12">
        <v>1517.14</v>
      </c>
      <c r="K937" s="12"/>
      <c r="L937" s="12">
        <f t="shared" si="297"/>
        <v>1517.14</v>
      </c>
      <c r="M937" s="12">
        <f t="shared" si="288"/>
        <v>353.3985557884929</v>
      </c>
      <c r="N937" s="12" t="e">
        <f t="shared" si="298"/>
        <v>#REF!</v>
      </c>
      <c r="O937" s="12" t="e">
        <f t="shared" si="299"/>
        <v>#REF!</v>
      </c>
      <c r="P937" s="12" t="e">
        <f t="shared" si="300"/>
        <v>#REF!</v>
      </c>
    </row>
    <row r="938" spans="1:16" ht="15.75" hidden="1" x14ac:dyDescent="0.25">
      <c r="A938" s="14">
        <v>17</v>
      </c>
      <c r="B938" s="14">
        <v>23</v>
      </c>
      <c r="C938" s="8" t="s">
        <v>1744</v>
      </c>
      <c r="D938" s="28" t="s">
        <v>2369</v>
      </c>
      <c r="E938" s="12" t="s">
        <v>1785</v>
      </c>
      <c r="F938" s="1"/>
      <c r="G938" s="1">
        <v>10.532</v>
      </c>
      <c r="H938" s="1">
        <v>0</v>
      </c>
      <c r="I938" s="12">
        <f t="shared" si="296"/>
        <v>10.532</v>
      </c>
      <c r="J938" s="12">
        <v>15735.421</v>
      </c>
      <c r="K938" s="12"/>
      <c r="L938" s="12">
        <f t="shared" si="297"/>
        <v>15735.421</v>
      </c>
      <c r="M938" s="12">
        <f t="shared" si="288"/>
        <v>1494.0582035700722</v>
      </c>
      <c r="N938" s="12" t="e">
        <f t="shared" si="298"/>
        <v>#REF!</v>
      </c>
      <c r="O938" s="12" t="e">
        <f t="shared" si="299"/>
        <v>#REF!</v>
      </c>
      <c r="P938" s="12" t="e">
        <f t="shared" si="300"/>
        <v>#REF!</v>
      </c>
    </row>
    <row r="939" spans="1:16" ht="15.75" hidden="1" x14ac:dyDescent="0.25">
      <c r="A939" s="14">
        <v>17</v>
      </c>
      <c r="B939" s="14">
        <v>24</v>
      </c>
      <c r="C939" s="8" t="s">
        <v>1744</v>
      </c>
      <c r="D939" s="28" t="s">
        <v>2370</v>
      </c>
      <c r="E939" s="12" t="s">
        <v>1786</v>
      </c>
      <c r="F939" s="1"/>
      <c r="G939" s="1">
        <v>6.3719999999999999</v>
      </c>
      <c r="H939" s="1">
        <v>1.4E-2</v>
      </c>
      <c r="I939" s="12">
        <f t="shared" si="296"/>
        <v>6.3860000000000001</v>
      </c>
      <c r="J939" s="12">
        <v>3063.3820000000001</v>
      </c>
      <c r="K939" s="12"/>
      <c r="L939" s="12">
        <f t="shared" si="297"/>
        <v>3063.3820000000001</v>
      </c>
      <c r="M939" s="12">
        <f t="shared" si="288"/>
        <v>479.70278734732227</v>
      </c>
      <c r="N939" s="12" t="e">
        <f t="shared" si="298"/>
        <v>#REF!</v>
      </c>
      <c r="O939" s="12" t="e">
        <f t="shared" si="299"/>
        <v>#REF!</v>
      </c>
      <c r="P939" s="12" t="e">
        <f t="shared" si="300"/>
        <v>#REF!</v>
      </c>
    </row>
    <row r="940" spans="1:16" ht="15.75" hidden="1" x14ac:dyDescent="0.25">
      <c r="A940" s="14">
        <v>17</v>
      </c>
      <c r="B940" s="14">
        <v>25</v>
      </c>
      <c r="C940" s="8" t="s">
        <v>1744</v>
      </c>
      <c r="D940" s="28" t="s">
        <v>2371</v>
      </c>
      <c r="E940" s="12" t="s">
        <v>1787</v>
      </c>
      <c r="F940" s="1"/>
      <c r="G940" s="1">
        <v>1.889</v>
      </c>
      <c r="H940" s="1">
        <v>6.0000000000000001E-3</v>
      </c>
      <c r="I940" s="12">
        <f t="shared" si="296"/>
        <v>1.895</v>
      </c>
      <c r="J940" s="12">
        <v>1316.557</v>
      </c>
      <c r="K940" s="12"/>
      <c r="L940" s="12">
        <f t="shared" si="297"/>
        <v>1316.557</v>
      </c>
      <c r="M940" s="12">
        <f t="shared" si="288"/>
        <v>694.75303430079157</v>
      </c>
      <c r="N940" s="12" t="e">
        <f t="shared" si="298"/>
        <v>#REF!</v>
      </c>
      <c r="O940" s="12" t="e">
        <f t="shared" si="299"/>
        <v>#REF!</v>
      </c>
      <c r="P940" s="12" t="e">
        <f t="shared" si="300"/>
        <v>#REF!</v>
      </c>
    </row>
    <row r="941" spans="1:16" ht="15.75" hidden="1" x14ac:dyDescent="0.25">
      <c r="A941" s="14">
        <v>17</v>
      </c>
      <c r="B941" s="14">
        <v>26</v>
      </c>
      <c r="C941" s="19" t="s">
        <v>1744</v>
      </c>
      <c r="D941" s="31" t="s">
        <v>103</v>
      </c>
      <c r="E941" s="12" t="s">
        <v>104</v>
      </c>
      <c r="F941" s="1"/>
      <c r="G941" s="1">
        <v>16.007999999999999</v>
      </c>
      <c r="H941" s="1">
        <v>2.1999999999999999E-2</v>
      </c>
      <c r="I941" s="12">
        <f t="shared" si="296"/>
        <v>16.029999999999998</v>
      </c>
      <c r="J941" s="12">
        <v>16653.778999999999</v>
      </c>
      <c r="K941" s="12"/>
      <c r="L941" s="12">
        <f t="shared" si="297"/>
        <v>16653.778999999999</v>
      </c>
      <c r="M941" s="12">
        <f t="shared" si="288"/>
        <v>1038.913225202745</v>
      </c>
      <c r="N941" s="12" t="e">
        <f t="shared" si="298"/>
        <v>#REF!</v>
      </c>
      <c r="O941" s="12" t="e">
        <f t="shared" si="299"/>
        <v>#REF!</v>
      </c>
      <c r="P941" s="12" t="e">
        <f t="shared" si="300"/>
        <v>#REF!</v>
      </c>
    </row>
    <row r="942" spans="1:16" ht="15.75" hidden="1" x14ac:dyDescent="0.25">
      <c r="A942" s="14">
        <v>17</v>
      </c>
      <c r="B942" s="14">
        <v>27</v>
      </c>
      <c r="C942" s="19" t="s">
        <v>1744</v>
      </c>
      <c r="D942" s="31" t="s">
        <v>105</v>
      </c>
      <c r="E942" s="12" t="s">
        <v>106</v>
      </c>
      <c r="F942" s="1"/>
      <c r="G942" s="1">
        <v>5.7770000000000001</v>
      </c>
      <c r="H942" s="1">
        <v>2.4E-2</v>
      </c>
      <c r="I942" s="12">
        <f t="shared" si="296"/>
        <v>5.8010000000000002</v>
      </c>
      <c r="J942" s="12">
        <v>11099.88</v>
      </c>
      <c r="K942" s="12"/>
      <c r="L942" s="12">
        <f t="shared" si="297"/>
        <v>11099.88</v>
      </c>
      <c r="M942" s="12">
        <f t="shared" si="288"/>
        <v>1913.442509912084</v>
      </c>
      <c r="N942" s="12" t="e">
        <f t="shared" si="298"/>
        <v>#REF!</v>
      </c>
      <c r="O942" s="12" t="e">
        <f t="shared" si="299"/>
        <v>#REF!</v>
      </c>
      <c r="P942" s="12" t="e">
        <f t="shared" si="300"/>
        <v>#REF!</v>
      </c>
    </row>
    <row r="943" spans="1:16" ht="15.75" hidden="1" x14ac:dyDescent="0.25">
      <c r="A943" s="14">
        <v>17</v>
      </c>
      <c r="B943" s="14">
        <v>28</v>
      </c>
      <c r="C943" s="19" t="s">
        <v>1744</v>
      </c>
      <c r="D943" s="31" t="s">
        <v>107</v>
      </c>
      <c r="E943" s="12" t="s">
        <v>108</v>
      </c>
      <c r="F943" s="1"/>
      <c r="G943" s="1">
        <v>3.0379999999999998</v>
      </c>
      <c r="H943" s="1">
        <v>8.9999999999999993E-3</v>
      </c>
      <c r="I943" s="12">
        <f t="shared" si="296"/>
        <v>3.0469999999999997</v>
      </c>
      <c r="J943" s="12">
        <v>1602.877</v>
      </c>
      <c r="K943" s="12"/>
      <c r="L943" s="12">
        <f t="shared" si="297"/>
        <v>1602.877</v>
      </c>
      <c r="M943" s="12">
        <f t="shared" si="288"/>
        <v>526.05086970790944</v>
      </c>
      <c r="N943" s="12" t="e">
        <f t="shared" si="298"/>
        <v>#REF!</v>
      </c>
      <c r="O943" s="12" t="e">
        <f t="shared" si="299"/>
        <v>#REF!</v>
      </c>
      <c r="P943" s="12" t="e">
        <f t="shared" si="300"/>
        <v>#REF!</v>
      </c>
    </row>
    <row r="944" spans="1:16" ht="15.75" hidden="1" x14ac:dyDescent="0.25">
      <c r="A944" s="14">
        <v>17</v>
      </c>
      <c r="B944" s="14">
        <v>29</v>
      </c>
      <c r="C944" s="19" t="s">
        <v>1744</v>
      </c>
      <c r="D944" s="31" t="s">
        <v>116</v>
      </c>
      <c r="E944" s="12" t="s">
        <v>111</v>
      </c>
      <c r="F944" s="1"/>
      <c r="G944" s="1">
        <v>7.0259999999999998</v>
      </c>
      <c r="H944" s="1">
        <v>2E-3</v>
      </c>
      <c r="I944" s="12">
        <f t="shared" si="296"/>
        <v>7.0279999999999996</v>
      </c>
      <c r="J944" s="12">
        <v>2979.114</v>
      </c>
      <c r="K944" s="12"/>
      <c r="L944" s="12">
        <f t="shared" si="297"/>
        <v>2979.114</v>
      </c>
      <c r="M944" s="12">
        <f t="shared" si="288"/>
        <v>423.89214570290272</v>
      </c>
      <c r="N944" s="12" t="e">
        <f t="shared" si="298"/>
        <v>#REF!</v>
      </c>
      <c r="O944" s="12" t="e">
        <f t="shared" si="299"/>
        <v>#REF!</v>
      </c>
      <c r="P944" s="12" t="e">
        <f t="shared" si="300"/>
        <v>#REF!</v>
      </c>
    </row>
    <row r="945" spans="1:16" ht="15.75" hidden="1" x14ac:dyDescent="0.25">
      <c r="A945" s="14">
        <v>17</v>
      </c>
      <c r="B945" s="14">
        <v>30</v>
      </c>
      <c r="C945" s="19" t="s">
        <v>1744</v>
      </c>
      <c r="D945" s="31" t="s">
        <v>117</v>
      </c>
      <c r="E945" s="12" t="s">
        <v>112</v>
      </c>
      <c r="F945" s="1"/>
      <c r="G945" s="1">
        <v>5.1559999999999997</v>
      </c>
      <c r="H945" s="1">
        <v>4.0000000000000001E-3</v>
      </c>
      <c r="I945" s="12">
        <f t="shared" si="296"/>
        <v>5.1599999999999993</v>
      </c>
      <c r="J945" s="12">
        <v>1250.5029999999999</v>
      </c>
      <c r="K945" s="12"/>
      <c r="L945" s="12">
        <f t="shared" si="297"/>
        <v>1250.5029999999999</v>
      </c>
      <c r="M945" s="12">
        <f t="shared" si="288"/>
        <v>242.34554263565894</v>
      </c>
      <c r="N945" s="12" t="e">
        <f t="shared" si="298"/>
        <v>#REF!</v>
      </c>
      <c r="O945" s="12" t="e">
        <f t="shared" si="299"/>
        <v>#REF!</v>
      </c>
      <c r="P945" s="12" t="e">
        <f t="shared" si="300"/>
        <v>#REF!</v>
      </c>
    </row>
    <row r="946" spans="1:16" ht="15.75" hidden="1" x14ac:dyDescent="0.25">
      <c r="A946" s="20">
        <v>17</v>
      </c>
      <c r="B946" s="20">
        <v>31</v>
      </c>
      <c r="C946" s="25" t="s">
        <v>1744</v>
      </c>
      <c r="D946" s="34" t="s">
        <v>129</v>
      </c>
      <c r="E946" s="12" t="s">
        <v>130</v>
      </c>
      <c r="F946" s="1"/>
      <c r="G946" s="1">
        <v>7.7560000000000002</v>
      </c>
      <c r="H946" s="1">
        <v>1.9E-2</v>
      </c>
      <c r="I946" s="12">
        <f t="shared" si="296"/>
        <v>7.7750000000000004</v>
      </c>
      <c r="J946" s="12">
        <v>8952.357</v>
      </c>
      <c r="K946" s="12"/>
      <c r="L946" s="12">
        <f t="shared" si="297"/>
        <v>8952.357</v>
      </c>
      <c r="M946" s="12">
        <f t="shared" si="288"/>
        <v>1151.4285530546624</v>
      </c>
      <c r="N946" s="12" t="e">
        <f t="shared" si="298"/>
        <v>#REF!</v>
      </c>
      <c r="O946" s="12" t="e">
        <f t="shared" si="299"/>
        <v>#REF!</v>
      </c>
      <c r="P946" s="12" t="e">
        <f t="shared" si="300"/>
        <v>#REF!</v>
      </c>
    </row>
    <row r="947" spans="1:16" ht="15.75" hidden="1" x14ac:dyDescent="0.25">
      <c r="A947" s="20">
        <v>17</v>
      </c>
      <c r="B947" s="20">
        <v>32</v>
      </c>
      <c r="C947" s="25" t="s">
        <v>1744</v>
      </c>
      <c r="D947" s="34" t="s">
        <v>131</v>
      </c>
      <c r="E947" s="12" t="s">
        <v>132</v>
      </c>
      <c r="F947" s="1"/>
      <c r="G947" s="1">
        <v>4.54</v>
      </c>
      <c r="H947" s="1">
        <v>4.0000000000000001E-3</v>
      </c>
      <c r="I947" s="12">
        <f t="shared" si="296"/>
        <v>4.5439999999999996</v>
      </c>
      <c r="J947" s="12">
        <v>2615.4259999999999</v>
      </c>
      <c r="K947" s="12"/>
      <c r="L947" s="12">
        <f t="shared" si="297"/>
        <v>2615.4259999999999</v>
      </c>
      <c r="M947" s="12">
        <f t="shared" si="288"/>
        <v>575.57790492957747</v>
      </c>
      <c r="N947" s="12" t="e">
        <f t="shared" si="298"/>
        <v>#REF!</v>
      </c>
      <c r="O947" s="12" t="e">
        <f t="shared" si="299"/>
        <v>#REF!</v>
      </c>
      <c r="P947" s="12" t="e">
        <f t="shared" si="300"/>
        <v>#REF!</v>
      </c>
    </row>
    <row r="948" spans="1:16" ht="15.75" hidden="1" x14ac:dyDescent="0.25">
      <c r="A948" s="20">
        <v>17</v>
      </c>
      <c r="B948" s="20">
        <v>33</v>
      </c>
      <c r="C948" s="25" t="s">
        <v>1744</v>
      </c>
      <c r="D948" s="34" t="s">
        <v>133</v>
      </c>
      <c r="E948" s="12" t="s">
        <v>134</v>
      </c>
      <c r="F948" s="1"/>
      <c r="G948" s="1">
        <v>2.754</v>
      </c>
      <c r="H948" s="1">
        <v>7.0000000000000001E-3</v>
      </c>
      <c r="I948" s="12">
        <f t="shared" si="296"/>
        <v>2.7610000000000001</v>
      </c>
      <c r="J948" s="12">
        <v>540.97699999999998</v>
      </c>
      <c r="K948" s="12"/>
      <c r="L948" s="12">
        <f t="shared" si="297"/>
        <v>540.97699999999998</v>
      </c>
      <c r="M948" s="12">
        <f t="shared" si="288"/>
        <v>195.93516841724011</v>
      </c>
      <c r="N948" s="12" t="e">
        <f t="shared" si="298"/>
        <v>#REF!</v>
      </c>
      <c r="O948" s="12" t="e">
        <f t="shared" si="299"/>
        <v>#REF!</v>
      </c>
      <c r="P948" s="12" t="e">
        <f t="shared" si="300"/>
        <v>#REF!</v>
      </c>
    </row>
    <row r="949" spans="1:16" ht="15.75" hidden="1" x14ac:dyDescent="0.25">
      <c r="A949" s="20">
        <v>17</v>
      </c>
      <c r="B949" s="20">
        <v>34</v>
      </c>
      <c r="C949" s="25" t="s">
        <v>1744</v>
      </c>
      <c r="D949" s="34" t="s">
        <v>135</v>
      </c>
      <c r="E949" s="12" t="s">
        <v>136</v>
      </c>
      <c r="F949" s="1"/>
      <c r="G949" s="1">
        <v>7.5609999999999999</v>
      </c>
      <c r="H949" s="1">
        <v>1.7999999999999999E-2</v>
      </c>
      <c r="I949" s="12">
        <f t="shared" si="296"/>
        <v>7.5789999999999997</v>
      </c>
      <c r="J949" s="12">
        <v>3617.2049999999999</v>
      </c>
      <c r="K949" s="12"/>
      <c r="L949" s="12">
        <f t="shared" si="297"/>
        <v>3617.2049999999999</v>
      </c>
      <c r="M949" s="12">
        <f t="shared" si="288"/>
        <v>477.26678981395963</v>
      </c>
      <c r="N949" s="12" t="e">
        <f t="shared" si="298"/>
        <v>#REF!</v>
      </c>
      <c r="O949" s="12" t="e">
        <f t="shared" si="299"/>
        <v>#REF!</v>
      </c>
      <c r="P949" s="12" t="e">
        <f t="shared" si="300"/>
        <v>#REF!</v>
      </c>
    </row>
    <row r="950" spans="1:16" ht="15.75" hidden="1" x14ac:dyDescent="0.25">
      <c r="A950" s="20">
        <v>17</v>
      </c>
      <c r="B950" s="20">
        <v>35</v>
      </c>
      <c r="C950" s="25" t="s">
        <v>1744</v>
      </c>
      <c r="D950" s="34" t="s">
        <v>381</v>
      </c>
      <c r="E950" s="12" t="s">
        <v>382</v>
      </c>
      <c r="F950" s="1"/>
      <c r="G950" s="1">
        <v>18.678000000000001</v>
      </c>
      <c r="H950" s="1">
        <v>3.6999999999999998E-2</v>
      </c>
      <c r="I950" s="12">
        <f t="shared" si="296"/>
        <v>18.715</v>
      </c>
      <c r="J950" s="12">
        <v>16422.735000000001</v>
      </c>
      <c r="K950" s="12"/>
      <c r="L950" s="12">
        <f t="shared" si="297"/>
        <v>16422.735000000001</v>
      </c>
      <c r="M950" s="12">
        <f t="shared" si="288"/>
        <v>877.51723216671121</v>
      </c>
      <c r="N950" s="12" t="e">
        <f t="shared" si="298"/>
        <v>#REF!</v>
      </c>
      <c r="O950" s="12" t="e">
        <f t="shared" si="299"/>
        <v>#REF!</v>
      </c>
      <c r="P950" s="12" t="e">
        <f t="shared" si="300"/>
        <v>#REF!</v>
      </c>
    </row>
    <row r="951" spans="1:16" ht="15.75" hidden="1" x14ac:dyDescent="0.25">
      <c r="A951" s="20">
        <v>17</v>
      </c>
      <c r="B951" s="20">
        <v>36</v>
      </c>
      <c r="C951" s="25" t="s">
        <v>1744</v>
      </c>
      <c r="D951" s="34" t="s">
        <v>383</v>
      </c>
      <c r="E951" s="12" t="s">
        <v>384</v>
      </c>
      <c r="F951" s="1"/>
      <c r="G951" s="1">
        <v>3.3079999999999998</v>
      </c>
      <c r="H951" s="1">
        <v>3.0000000000000001E-3</v>
      </c>
      <c r="I951" s="12">
        <f t="shared" si="296"/>
        <v>3.3109999999999999</v>
      </c>
      <c r="J951" s="12">
        <v>1339.809</v>
      </c>
      <c r="K951" s="12"/>
      <c r="L951" s="12">
        <f t="shared" si="297"/>
        <v>1339.809</v>
      </c>
      <c r="M951" s="12">
        <f t="shared" si="288"/>
        <v>404.65388100271821</v>
      </c>
      <c r="N951" s="12" t="e">
        <f t="shared" si="298"/>
        <v>#REF!</v>
      </c>
      <c r="O951" s="12" t="e">
        <f t="shared" si="299"/>
        <v>#REF!</v>
      </c>
      <c r="P951" s="12" t="e">
        <f t="shared" si="300"/>
        <v>#REF!</v>
      </c>
    </row>
    <row r="952" spans="1:16" ht="15.75" hidden="1" x14ac:dyDescent="0.25">
      <c r="A952" s="20">
        <v>17</v>
      </c>
      <c r="B952" s="20">
        <v>37</v>
      </c>
      <c r="C952" s="25" t="s">
        <v>1744</v>
      </c>
      <c r="D952" s="34" t="s">
        <v>385</v>
      </c>
      <c r="E952" s="12" t="s">
        <v>386</v>
      </c>
      <c r="F952" s="1"/>
      <c r="G952" s="1">
        <v>6.3920000000000003</v>
      </c>
      <c r="H952" s="1">
        <v>8.0000000000000002E-3</v>
      </c>
      <c r="I952" s="12">
        <f t="shared" si="296"/>
        <v>6.4</v>
      </c>
      <c r="J952" s="12">
        <v>2090.1840000000002</v>
      </c>
      <c r="K952" s="12"/>
      <c r="L952" s="12">
        <f t="shared" si="297"/>
        <v>2090.1840000000002</v>
      </c>
      <c r="M952" s="12">
        <f t="shared" si="288"/>
        <v>326.59125</v>
      </c>
      <c r="N952" s="12" t="e">
        <f t="shared" si="298"/>
        <v>#REF!</v>
      </c>
      <c r="O952" s="12" t="e">
        <f t="shared" si="299"/>
        <v>#REF!</v>
      </c>
      <c r="P952" s="12" t="e">
        <f t="shared" si="300"/>
        <v>#REF!</v>
      </c>
    </row>
    <row r="953" spans="1:16" ht="15.75" hidden="1" x14ac:dyDescent="0.25">
      <c r="A953" s="20">
        <v>17</v>
      </c>
      <c r="B953" s="20">
        <v>38</v>
      </c>
      <c r="C953" s="25" t="s">
        <v>1744</v>
      </c>
      <c r="D953" s="34" t="s">
        <v>387</v>
      </c>
      <c r="E953" s="12" t="s">
        <v>388</v>
      </c>
      <c r="F953" s="1"/>
      <c r="G953" s="1">
        <v>5.98</v>
      </c>
      <c r="H953" s="1">
        <v>8.0000000000000002E-3</v>
      </c>
      <c r="I953" s="12">
        <f t="shared" si="296"/>
        <v>5.9880000000000004</v>
      </c>
      <c r="J953" s="12">
        <v>4605.7579999999998</v>
      </c>
      <c r="K953" s="12"/>
      <c r="L953" s="12">
        <f t="shared" si="297"/>
        <v>4605.7579999999998</v>
      </c>
      <c r="M953" s="12">
        <f t="shared" si="288"/>
        <v>769.16466265865051</v>
      </c>
      <c r="N953" s="12" t="e">
        <f t="shared" si="298"/>
        <v>#REF!</v>
      </c>
      <c r="O953" s="12" t="e">
        <f t="shared" si="299"/>
        <v>#REF!</v>
      </c>
      <c r="P953" s="12" t="e">
        <f t="shared" si="300"/>
        <v>#REF!</v>
      </c>
    </row>
    <row r="954" spans="1:16" ht="15.75" hidden="1" x14ac:dyDescent="0.25">
      <c r="A954" s="20">
        <v>17</v>
      </c>
      <c r="B954" s="20">
        <v>39</v>
      </c>
      <c r="C954" s="25" t="s">
        <v>1744</v>
      </c>
      <c r="D954" s="34" t="s">
        <v>553</v>
      </c>
      <c r="E954" s="38" t="s">
        <v>554</v>
      </c>
      <c r="F954" s="39"/>
      <c r="G954" s="39">
        <v>5.61</v>
      </c>
      <c r="H954" s="39">
        <v>1.4E-2</v>
      </c>
      <c r="I954" s="12">
        <f t="shared" si="296"/>
        <v>5.6240000000000006</v>
      </c>
      <c r="J954" s="38">
        <v>3618.0070000000001</v>
      </c>
      <c r="K954" s="38"/>
      <c r="L954" s="38">
        <f t="shared" si="297"/>
        <v>3618.0070000000001</v>
      </c>
      <c r="M954" s="38">
        <f t="shared" si="288"/>
        <v>643.31561166429583</v>
      </c>
      <c r="N954" s="12" t="e">
        <f t="shared" si="298"/>
        <v>#REF!</v>
      </c>
      <c r="O954" s="12" t="e">
        <f t="shared" si="299"/>
        <v>#REF!</v>
      </c>
      <c r="P954" s="12" t="e">
        <f t="shared" si="300"/>
        <v>#REF!</v>
      </c>
    </row>
    <row r="955" spans="1:16" ht="15.75" hidden="1" x14ac:dyDescent="0.25">
      <c r="A955" s="49">
        <v>17</v>
      </c>
      <c r="B955" s="49">
        <v>40</v>
      </c>
      <c r="C955" s="54" t="s">
        <v>1744</v>
      </c>
      <c r="D955" s="55" t="s">
        <v>870</v>
      </c>
      <c r="E955" s="52" t="s">
        <v>871</v>
      </c>
      <c r="F955" s="53"/>
      <c r="G955" s="53">
        <v>3.4350000000000001</v>
      </c>
      <c r="H955" s="53">
        <v>0</v>
      </c>
      <c r="I955" s="12">
        <f t="shared" si="296"/>
        <v>3.4350000000000001</v>
      </c>
      <c r="J955" s="52">
        <v>2599.9520000000002</v>
      </c>
      <c r="K955" s="52"/>
      <c r="L955" s="52">
        <f t="shared" si="297"/>
        <v>2599.9520000000002</v>
      </c>
      <c r="M955" s="52">
        <f t="shared" si="288"/>
        <v>756.90014556040762</v>
      </c>
      <c r="N955" s="12" t="e">
        <f t="shared" si="298"/>
        <v>#REF!</v>
      </c>
      <c r="O955" s="12" t="e">
        <f t="shared" si="299"/>
        <v>#REF!</v>
      </c>
      <c r="P955" s="12" t="e">
        <f t="shared" si="300"/>
        <v>#REF!</v>
      </c>
    </row>
    <row r="956" spans="1:16" ht="15.75" hidden="1" x14ac:dyDescent="0.25">
      <c r="A956" s="49">
        <v>17</v>
      </c>
      <c r="B956" s="49">
        <v>41</v>
      </c>
      <c r="C956" s="54" t="s">
        <v>1744</v>
      </c>
      <c r="D956" s="55" t="s">
        <v>872</v>
      </c>
      <c r="E956" s="52" t="s">
        <v>873</v>
      </c>
      <c r="F956" s="53"/>
      <c r="G956" s="53">
        <v>2.7810000000000001</v>
      </c>
      <c r="H956" s="53">
        <v>0</v>
      </c>
      <c r="I956" s="12">
        <f t="shared" si="296"/>
        <v>2.7810000000000001</v>
      </c>
      <c r="J956" s="52">
        <v>2970.9839999999999</v>
      </c>
      <c r="K956" s="52"/>
      <c r="L956" s="52">
        <f t="shared" si="297"/>
        <v>2970.9839999999999</v>
      </c>
      <c r="M956" s="52">
        <f t="shared" si="288"/>
        <v>1068.3149946062567</v>
      </c>
      <c r="N956" s="12" t="e">
        <f t="shared" si="298"/>
        <v>#REF!</v>
      </c>
      <c r="O956" s="12" t="e">
        <f t="shared" si="299"/>
        <v>#REF!</v>
      </c>
      <c r="P956" s="12" t="e">
        <f t="shared" si="300"/>
        <v>#REF!</v>
      </c>
    </row>
    <row r="957" spans="1:16" ht="15.75" hidden="1" x14ac:dyDescent="0.25">
      <c r="A957" s="49">
        <v>17</v>
      </c>
      <c r="B957" s="49">
        <v>42</v>
      </c>
      <c r="C957" s="54" t="s">
        <v>1744</v>
      </c>
      <c r="D957" s="55" t="s">
        <v>874</v>
      </c>
      <c r="E957" s="52" t="s">
        <v>875</v>
      </c>
      <c r="F957" s="53"/>
      <c r="G957" s="53">
        <v>11.704000000000001</v>
      </c>
      <c r="H957" s="53">
        <v>0</v>
      </c>
      <c r="I957" s="12">
        <f t="shared" si="296"/>
        <v>11.704000000000001</v>
      </c>
      <c r="J957" s="52">
        <v>28795.83</v>
      </c>
      <c r="K957" s="52"/>
      <c r="L957" s="52">
        <f t="shared" si="297"/>
        <v>28795.83</v>
      </c>
      <c r="M957" s="52">
        <f t="shared" si="288"/>
        <v>2460.340909090909</v>
      </c>
      <c r="N957" s="12" t="e">
        <f t="shared" si="298"/>
        <v>#REF!</v>
      </c>
      <c r="O957" s="12" t="e">
        <f t="shared" si="299"/>
        <v>#REF!</v>
      </c>
      <c r="P957" s="12" t="e">
        <f t="shared" si="300"/>
        <v>#REF!</v>
      </c>
    </row>
    <row r="958" spans="1:16" ht="15.75" hidden="1" x14ac:dyDescent="0.25">
      <c r="A958" s="49">
        <v>17</v>
      </c>
      <c r="B958" s="49">
        <v>43</v>
      </c>
      <c r="C958" s="54" t="s">
        <v>1744</v>
      </c>
      <c r="D958" s="55" t="s">
        <v>876</v>
      </c>
      <c r="E958" s="52" t="s">
        <v>877</v>
      </c>
      <c r="F958" s="53"/>
      <c r="G958" s="53">
        <v>11.198</v>
      </c>
      <c r="H958" s="53">
        <v>0</v>
      </c>
      <c r="I958" s="12">
        <f t="shared" si="296"/>
        <v>11.198</v>
      </c>
      <c r="J958" s="52">
        <v>3937.2730000000001</v>
      </c>
      <c r="K958" s="52"/>
      <c r="L958" s="52">
        <f t="shared" si="297"/>
        <v>3937.2730000000001</v>
      </c>
      <c r="M958" s="52">
        <f t="shared" si="288"/>
        <v>351.60501875334882</v>
      </c>
      <c r="N958" s="12" t="e">
        <f t="shared" si="298"/>
        <v>#REF!</v>
      </c>
      <c r="O958" s="12" t="e">
        <f t="shared" si="299"/>
        <v>#REF!</v>
      </c>
      <c r="P958" s="12" t="e">
        <f t="shared" si="300"/>
        <v>#REF!</v>
      </c>
    </row>
    <row r="959" spans="1:16" ht="31.5" hidden="1" x14ac:dyDescent="0.25">
      <c r="A959" s="49">
        <v>17</v>
      </c>
      <c r="B959" s="49">
        <v>44</v>
      </c>
      <c r="C959" s="54" t="s">
        <v>1744</v>
      </c>
      <c r="D959" s="55" t="s">
        <v>878</v>
      </c>
      <c r="E959" s="52" t="s">
        <v>879</v>
      </c>
      <c r="F959" s="53"/>
      <c r="G959" s="53">
        <v>11.353999999999999</v>
      </c>
      <c r="H959" s="53">
        <v>0</v>
      </c>
      <c r="I959" s="12">
        <f t="shared" si="296"/>
        <v>11.353999999999999</v>
      </c>
      <c r="J959" s="52">
        <f>7782.98+1089.128</f>
        <v>8872.1080000000002</v>
      </c>
      <c r="K959" s="52"/>
      <c r="L959" s="52">
        <f t="shared" si="297"/>
        <v>8872.1080000000002</v>
      </c>
      <c r="M959" s="52">
        <f t="shared" si="288"/>
        <v>781.40813810110978</v>
      </c>
      <c r="N959" s="12" t="e">
        <f t="shared" si="298"/>
        <v>#REF!</v>
      </c>
      <c r="O959" s="12" t="e">
        <f t="shared" si="299"/>
        <v>#REF!</v>
      </c>
      <c r="P959" s="12" t="e">
        <f t="shared" si="300"/>
        <v>#REF!</v>
      </c>
    </row>
    <row r="960" spans="1:16" ht="37.5" hidden="1" x14ac:dyDescent="0.25">
      <c r="A960" s="49">
        <v>17</v>
      </c>
      <c r="B960" s="49">
        <v>45</v>
      </c>
      <c r="C960" s="12" t="s">
        <v>1744</v>
      </c>
      <c r="D960" s="61" t="s">
        <v>1</v>
      </c>
      <c r="E960" s="64" t="s">
        <v>2</v>
      </c>
      <c r="F960" s="53"/>
      <c r="G960" s="53">
        <v>5.7850000000000001</v>
      </c>
      <c r="H960" s="53">
        <v>0</v>
      </c>
      <c r="I960" s="12">
        <f t="shared" si="296"/>
        <v>5.7850000000000001</v>
      </c>
      <c r="J960" s="52">
        <v>1566.8979999999999</v>
      </c>
      <c r="K960" s="52"/>
      <c r="L960" s="52">
        <f>J960+K960</f>
        <v>1566.8979999999999</v>
      </c>
      <c r="M960" s="52">
        <f>L960/I960</f>
        <v>270.8553154710458</v>
      </c>
      <c r="N960" s="12" t="e">
        <f t="shared" si="298"/>
        <v>#REF!</v>
      </c>
      <c r="O960" s="12" t="e">
        <f t="shared" si="299"/>
        <v>#REF!</v>
      </c>
      <c r="P960" s="12" t="e">
        <f t="shared" si="300"/>
        <v>#REF!</v>
      </c>
    </row>
    <row r="961" spans="1:16" s="75" customFormat="1" ht="15.75" hidden="1" x14ac:dyDescent="0.25">
      <c r="A961" s="72">
        <v>18</v>
      </c>
      <c r="B961" s="72" t="s">
        <v>1126</v>
      </c>
      <c r="C961" s="73" t="s">
        <v>1161</v>
      </c>
      <c r="D961" s="74"/>
      <c r="E961" s="71" t="s">
        <v>1571</v>
      </c>
      <c r="F961" s="76"/>
      <c r="G961" s="71">
        <f t="shared" ref="G961:L961" si="301">G962+G963+G971+G990</f>
        <v>1104.529</v>
      </c>
      <c r="H961" s="71">
        <f t="shared" si="301"/>
        <v>11.261000000000001</v>
      </c>
      <c r="I961" s="71">
        <f t="shared" si="301"/>
        <v>1115.7899999999997</v>
      </c>
      <c r="J961" s="71">
        <f t="shared" si="301"/>
        <v>1632026.0427000001</v>
      </c>
      <c r="K961" s="71">
        <f t="shared" si="301"/>
        <v>-9.0949470177292824E-13</v>
      </c>
      <c r="L961" s="71">
        <f t="shared" si="301"/>
        <v>1632026.0427000001</v>
      </c>
      <c r="M961" s="71">
        <f>L961/I961</f>
        <v>1462.6641596536988</v>
      </c>
      <c r="N961" s="71" t="e">
        <f>M961/$M$1429</f>
        <v>#REF!</v>
      </c>
      <c r="O961" s="71" t="e">
        <f>O962+O963+O971+O990</f>
        <v>#REF!</v>
      </c>
      <c r="P961" s="71" t="e">
        <f>P962+P963+P971+P990</f>
        <v>#REF!</v>
      </c>
    </row>
    <row r="962" spans="1:16" ht="15.75" hidden="1" x14ac:dyDescent="0.25">
      <c r="A962" s="14">
        <v>18</v>
      </c>
      <c r="B962" s="14" t="s">
        <v>1126</v>
      </c>
      <c r="C962" s="8" t="s">
        <v>1159</v>
      </c>
      <c r="D962" s="28" t="s">
        <v>2372</v>
      </c>
      <c r="E962" s="12" t="s">
        <v>1160</v>
      </c>
      <c r="F962" s="1"/>
      <c r="G962" s="1">
        <v>0</v>
      </c>
      <c r="H962" s="1">
        <v>0</v>
      </c>
      <c r="I962" s="12">
        <f>H962+G962</f>
        <v>0</v>
      </c>
      <c r="J962" s="12"/>
      <c r="K962" s="12"/>
      <c r="L962" s="12"/>
      <c r="M962" s="12"/>
      <c r="N962" s="12"/>
      <c r="O962" s="12"/>
      <c r="P962" s="12"/>
    </row>
    <row r="963" spans="1:16" ht="15.75" hidden="1" x14ac:dyDescent="0.25">
      <c r="A963" s="15">
        <v>18</v>
      </c>
      <c r="B963" s="15" t="s">
        <v>1126</v>
      </c>
      <c r="C963" s="10" t="s">
        <v>1127</v>
      </c>
      <c r="D963" s="29"/>
      <c r="E963" s="37" t="s">
        <v>1128</v>
      </c>
      <c r="F963" s="6"/>
      <c r="G963" s="37">
        <f t="shared" ref="G963:L963" si="302">SUM(G964:G970)</f>
        <v>586.22699999999998</v>
      </c>
      <c r="H963" s="37">
        <f>SUM(H964:H970)</f>
        <v>6.5670000000000011</v>
      </c>
      <c r="I963" s="37">
        <f t="shared" si="302"/>
        <v>592.79399999999998</v>
      </c>
      <c r="J963" s="37">
        <f t="shared" si="302"/>
        <v>1042627.227</v>
      </c>
      <c r="K963" s="37">
        <f t="shared" si="302"/>
        <v>-6042.2904060000001</v>
      </c>
      <c r="L963" s="37">
        <f t="shared" si="302"/>
        <v>1036584.936594</v>
      </c>
      <c r="M963" s="37">
        <f t="shared" ref="M963:M1017" si="303">L963/I963</f>
        <v>1748.6427605441352</v>
      </c>
      <c r="N963" s="37" t="e">
        <f>M963/$M$1429</f>
        <v>#REF!</v>
      </c>
      <c r="O963" s="37" t="e">
        <f>SUM(O964:O970)</f>
        <v>#REF!</v>
      </c>
      <c r="P963" s="37" t="e">
        <f>SUM(P964:P970)</f>
        <v>#REF!</v>
      </c>
    </row>
    <row r="964" spans="1:16" ht="15.75" hidden="1" x14ac:dyDescent="0.25">
      <c r="A964" s="14">
        <v>18</v>
      </c>
      <c r="B964" s="14" t="s">
        <v>1811</v>
      </c>
      <c r="C964" s="8" t="s">
        <v>1119</v>
      </c>
      <c r="D964" s="28" t="s">
        <v>2373</v>
      </c>
      <c r="E964" s="12" t="s">
        <v>1547</v>
      </c>
      <c r="F964" s="1"/>
      <c r="G964" s="1">
        <v>268.459</v>
      </c>
      <c r="H964" s="1">
        <v>3.6019999999999999</v>
      </c>
      <c r="I964" s="12">
        <f t="shared" ref="I964:I970" si="304">H964+G964</f>
        <v>272.06099999999998</v>
      </c>
      <c r="J964" s="12">
        <v>610107.89899999998</v>
      </c>
      <c r="K964" s="12">
        <f>-1795.79623*0.6</f>
        <v>-1077.4777379999998</v>
      </c>
      <c r="L964" s="12">
        <f t="shared" ref="L964:L970" si="305">J964+K964</f>
        <v>609030.42126199999</v>
      </c>
      <c r="M964" s="12">
        <f t="shared" si="303"/>
        <v>2238.580396536071</v>
      </c>
      <c r="N964" s="12" t="e">
        <f t="shared" ref="N964:N970" si="306">M964/$M$1431</f>
        <v>#REF!</v>
      </c>
      <c r="O964" s="12" t="e">
        <f t="shared" ref="O964:O970" si="307">ROUND(IF(N964&lt;110%,0,(M964-$M$1431*1.1)*0.8)*I964,1)</f>
        <v>#REF!</v>
      </c>
      <c r="P964" s="12" t="e">
        <f t="shared" ref="P964:P970" si="308">ROUND(IF(N964&gt;90%,0,(-M964+$M$1431*0.9)*0.8)*I964,1)</f>
        <v>#REF!</v>
      </c>
    </row>
    <row r="965" spans="1:16" ht="15.75" hidden="1" x14ac:dyDescent="0.25">
      <c r="A965" s="14">
        <v>18</v>
      </c>
      <c r="B965" s="14" t="s">
        <v>1810</v>
      </c>
      <c r="C965" s="8" t="s">
        <v>1119</v>
      </c>
      <c r="D965" s="28" t="s">
        <v>2374</v>
      </c>
      <c r="E965" s="12" t="s">
        <v>1548</v>
      </c>
      <c r="F965" s="1"/>
      <c r="G965" s="1">
        <v>33.750999999999998</v>
      </c>
      <c r="H965" s="1">
        <v>0.317</v>
      </c>
      <c r="I965" s="12">
        <f t="shared" si="304"/>
        <v>34.067999999999998</v>
      </c>
      <c r="J965" s="12">
        <v>30097.614000000001</v>
      </c>
      <c r="K965" s="12">
        <f>8469.86346*0.6</f>
        <v>5081.9180759999999</v>
      </c>
      <c r="L965" s="12">
        <f t="shared" si="305"/>
        <v>35179.532076000003</v>
      </c>
      <c r="M965" s="12">
        <f t="shared" si="303"/>
        <v>1032.626866150053</v>
      </c>
      <c r="N965" s="12" t="e">
        <f t="shared" si="306"/>
        <v>#REF!</v>
      </c>
      <c r="O965" s="12" t="e">
        <f t="shared" si="307"/>
        <v>#REF!</v>
      </c>
      <c r="P965" s="12" t="e">
        <f t="shared" si="308"/>
        <v>#REF!</v>
      </c>
    </row>
    <row r="966" spans="1:16" ht="15.75" hidden="1" x14ac:dyDescent="0.25">
      <c r="A966" s="14">
        <v>18</v>
      </c>
      <c r="B966" s="14" t="s">
        <v>1850</v>
      </c>
      <c r="C966" s="8" t="s">
        <v>1119</v>
      </c>
      <c r="D966" s="28" t="s">
        <v>2375</v>
      </c>
      <c r="E966" s="12" t="s">
        <v>1549</v>
      </c>
      <c r="F966" s="1"/>
      <c r="G966" s="1">
        <v>91.703999999999994</v>
      </c>
      <c r="H966" s="1">
        <v>0.82299999999999995</v>
      </c>
      <c r="I966" s="12">
        <f t="shared" si="304"/>
        <v>92.526999999999987</v>
      </c>
      <c r="J966" s="12">
        <v>151699.372</v>
      </c>
      <c r="K966" s="12">
        <f>-8469.86346*0.6-8274.68778*0.6</f>
        <v>-10046.730744</v>
      </c>
      <c r="L966" s="12">
        <f t="shared" si="305"/>
        <v>141652.641256</v>
      </c>
      <c r="M966" s="12">
        <f t="shared" si="303"/>
        <v>1530.9330385292944</v>
      </c>
      <c r="N966" s="12" t="e">
        <f t="shared" si="306"/>
        <v>#REF!</v>
      </c>
      <c r="O966" s="12" t="e">
        <f t="shared" si="307"/>
        <v>#REF!</v>
      </c>
      <c r="P966" s="12" t="e">
        <f t="shared" si="308"/>
        <v>#REF!</v>
      </c>
    </row>
    <row r="967" spans="1:16" ht="15.75" hidden="1" x14ac:dyDescent="0.25">
      <c r="A967" s="14">
        <v>18</v>
      </c>
      <c r="B967" s="14" t="s">
        <v>1855</v>
      </c>
      <c r="C967" s="8" t="s">
        <v>1119</v>
      </c>
      <c r="D967" s="28" t="s">
        <v>2376</v>
      </c>
      <c r="E967" s="12" t="s">
        <v>1550</v>
      </c>
      <c r="F967" s="1"/>
      <c r="G967" s="1">
        <v>26.108000000000001</v>
      </c>
      <c r="H967" s="1">
        <v>0.23799999999999999</v>
      </c>
      <c r="I967" s="12">
        <f t="shared" si="304"/>
        <v>26.346</v>
      </c>
      <c r="J967" s="12">
        <v>24449.688999999998</v>
      </c>
      <c r="K967" s="12"/>
      <c r="L967" s="12">
        <f t="shared" si="305"/>
        <v>24449.688999999998</v>
      </c>
      <c r="M967" s="12">
        <f t="shared" si="303"/>
        <v>928.02281181203966</v>
      </c>
      <c r="N967" s="12" t="e">
        <f t="shared" si="306"/>
        <v>#REF!</v>
      </c>
      <c r="O967" s="12" t="e">
        <f t="shared" si="307"/>
        <v>#REF!</v>
      </c>
      <c r="P967" s="12" t="e">
        <f t="shared" si="308"/>
        <v>#REF!</v>
      </c>
    </row>
    <row r="968" spans="1:16" ht="15.75" hidden="1" x14ac:dyDescent="0.25">
      <c r="A968" s="14">
        <v>18</v>
      </c>
      <c r="B968" s="14" t="s">
        <v>1818</v>
      </c>
      <c r="C968" s="8" t="s">
        <v>1119</v>
      </c>
      <c r="D968" s="28" t="s">
        <v>2377</v>
      </c>
      <c r="E968" s="12" t="s">
        <v>1551</v>
      </c>
      <c r="F968" s="1"/>
      <c r="G968" s="1">
        <v>48.692999999999998</v>
      </c>
      <c r="H968" s="1">
        <v>0.86799999999999999</v>
      </c>
      <c r="I968" s="12">
        <f t="shared" si="304"/>
        <v>49.561</v>
      </c>
      <c r="J968" s="12">
        <v>81895.316000000006</v>
      </c>
      <c r="K968" s="12"/>
      <c r="L968" s="12">
        <f t="shared" si="305"/>
        <v>81895.316000000006</v>
      </c>
      <c r="M968" s="12">
        <f t="shared" si="303"/>
        <v>1652.4145194810437</v>
      </c>
      <c r="N968" s="12" t="e">
        <f t="shared" si="306"/>
        <v>#REF!</v>
      </c>
      <c r="O968" s="12" t="e">
        <f t="shared" si="307"/>
        <v>#REF!</v>
      </c>
      <c r="P968" s="12" t="e">
        <f t="shared" si="308"/>
        <v>#REF!</v>
      </c>
    </row>
    <row r="969" spans="1:16" ht="15.75" hidden="1" x14ac:dyDescent="0.25">
      <c r="A969" s="14">
        <v>18</v>
      </c>
      <c r="B969" s="14" t="s">
        <v>1820</v>
      </c>
      <c r="C969" s="8" t="s">
        <v>1119</v>
      </c>
      <c r="D969" s="28" t="s">
        <v>2378</v>
      </c>
      <c r="E969" s="12" t="s">
        <v>1552</v>
      </c>
      <c r="F969" s="1"/>
      <c r="G969" s="1">
        <v>40.917000000000002</v>
      </c>
      <c r="H969" s="1">
        <v>0.35699999999999998</v>
      </c>
      <c r="I969" s="12">
        <f t="shared" si="304"/>
        <v>41.274000000000001</v>
      </c>
      <c r="J969" s="12">
        <v>61114.338000000003</v>
      </c>
      <c r="K969" s="12"/>
      <c r="L969" s="12">
        <f t="shared" si="305"/>
        <v>61114.338000000003</v>
      </c>
      <c r="M969" s="12">
        <f t="shared" si="303"/>
        <v>1480.6982119494112</v>
      </c>
      <c r="N969" s="12" t="e">
        <f t="shared" si="306"/>
        <v>#REF!</v>
      </c>
      <c r="O969" s="12" t="e">
        <f t="shared" si="307"/>
        <v>#REF!</v>
      </c>
      <c r="P969" s="12" t="e">
        <f t="shared" si="308"/>
        <v>#REF!</v>
      </c>
    </row>
    <row r="970" spans="1:16" ht="15.75" hidden="1" x14ac:dyDescent="0.25">
      <c r="A970" s="14">
        <v>18</v>
      </c>
      <c r="B970" s="14" t="s">
        <v>1822</v>
      </c>
      <c r="C970" s="8" t="s">
        <v>1119</v>
      </c>
      <c r="D970" s="28" t="s">
        <v>2379</v>
      </c>
      <c r="E970" s="12" t="s">
        <v>1553</v>
      </c>
      <c r="F970" s="1"/>
      <c r="G970" s="1">
        <v>76.594999999999999</v>
      </c>
      <c r="H970" s="1">
        <v>0.36199999999999999</v>
      </c>
      <c r="I970" s="12">
        <f t="shared" si="304"/>
        <v>76.956999999999994</v>
      </c>
      <c r="J970" s="12">
        <v>83262.998999999996</v>
      </c>
      <c r="K970" s="12"/>
      <c r="L970" s="12">
        <f t="shared" si="305"/>
        <v>83262.998999999996</v>
      </c>
      <c r="M970" s="12">
        <f t="shared" si="303"/>
        <v>1081.941850643866</v>
      </c>
      <c r="N970" s="12" t="e">
        <f t="shared" si="306"/>
        <v>#REF!</v>
      </c>
      <c r="O970" s="12" t="e">
        <f t="shared" si="307"/>
        <v>#REF!</v>
      </c>
      <c r="P970" s="12" t="e">
        <f t="shared" si="308"/>
        <v>#REF!</v>
      </c>
    </row>
    <row r="971" spans="1:16" ht="15.75" hidden="1" x14ac:dyDescent="0.25">
      <c r="A971" s="15">
        <v>18</v>
      </c>
      <c r="B971" s="15" t="s">
        <v>1126</v>
      </c>
      <c r="C971" s="10" t="s">
        <v>1157</v>
      </c>
      <c r="D971" s="29"/>
      <c r="E971" s="37" t="s">
        <v>1570</v>
      </c>
      <c r="F971" s="6"/>
      <c r="G971" s="37">
        <f t="shared" ref="G971:L971" si="309">SUM(G972:G989)</f>
        <v>305.44799999999992</v>
      </c>
      <c r="H971" s="37">
        <f>SUM(H972:H989)</f>
        <v>2.7560000000000002</v>
      </c>
      <c r="I971" s="37">
        <f t="shared" si="309"/>
        <v>308.20399999999989</v>
      </c>
      <c r="J971" s="37">
        <f t="shared" si="309"/>
        <v>319140.19500000001</v>
      </c>
      <c r="K971" s="37">
        <f t="shared" si="309"/>
        <v>6042.2904059999992</v>
      </c>
      <c r="L971" s="37">
        <f t="shared" si="309"/>
        <v>325182.48540599999</v>
      </c>
      <c r="M971" s="37">
        <f t="shared" si="303"/>
        <v>1055.0884654514546</v>
      </c>
      <c r="N971" s="37" t="e">
        <f>M971/$M$1429</f>
        <v>#REF!</v>
      </c>
      <c r="O971" s="37" t="e">
        <f>SUM(O972:O989)</f>
        <v>#REF!</v>
      </c>
      <c r="P971" s="37" t="e">
        <f>SUM(P972:P989)</f>
        <v>#REF!</v>
      </c>
    </row>
    <row r="972" spans="1:16" ht="15.75" hidden="1" x14ac:dyDescent="0.25">
      <c r="A972" s="14">
        <v>18</v>
      </c>
      <c r="B972" s="14" t="s">
        <v>1824</v>
      </c>
      <c r="C972" s="8" t="s">
        <v>1129</v>
      </c>
      <c r="D972" s="28" t="s">
        <v>2380</v>
      </c>
      <c r="E972" s="12" t="s">
        <v>1554</v>
      </c>
      <c r="F972" s="1"/>
      <c r="G972" s="1">
        <v>39.921999999999997</v>
      </c>
      <c r="H972" s="1">
        <v>0.26200000000000001</v>
      </c>
      <c r="I972" s="12">
        <f t="shared" ref="I972:I989" si="310">H972+G972</f>
        <v>40.183999999999997</v>
      </c>
      <c r="J972" s="12">
        <f>49905.733-11929.686</f>
        <v>37976.046999999999</v>
      </c>
      <c r="K972" s="12"/>
      <c r="L972" s="12">
        <f t="shared" ref="L972:L989" si="311">J972+K972</f>
        <v>37976.046999999999</v>
      </c>
      <c r="M972" s="12">
        <f t="shared" si="303"/>
        <v>945.05392693609394</v>
      </c>
      <c r="N972" s="12" t="e">
        <f t="shared" ref="N972:N989" si="312">M972/$M$1432</f>
        <v>#REF!</v>
      </c>
      <c r="O972" s="12" t="e">
        <f t="shared" ref="O972:O989" si="313">ROUND(IF(N972&lt;110%,0,(M972-$M$1432*1.1)*0.8)*I972,1)</f>
        <v>#REF!</v>
      </c>
      <c r="P972" s="12" t="e">
        <f t="shared" ref="P972:P989" si="314">ROUND(IF(N972&gt;90%,0,(-M972+$M$1432*0.9)*0.8)*I972,1)</f>
        <v>#REF!</v>
      </c>
    </row>
    <row r="973" spans="1:16" ht="15.75" hidden="1" x14ac:dyDescent="0.25">
      <c r="A973" s="14">
        <v>18</v>
      </c>
      <c r="B973" s="14" t="s">
        <v>1826</v>
      </c>
      <c r="C973" s="8" t="s">
        <v>1129</v>
      </c>
      <c r="D973" s="28" t="s">
        <v>2381</v>
      </c>
      <c r="E973" s="12" t="s">
        <v>1555</v>
      </c>
      <c r="F973" s="1"/>
      <c r="G973" s="1">
        <v>10.568</v>
      </c>
      <c r="H973" s="1">
        <v>0.15</v>
      </c>
      <c r="I973" s="12">
        <f t="shared" si="310"/>
        <v>10.718</v>
      </c>
      <c r="J973" s="12">
        <f>30133.368-19111.737</f>
        <v>11021.630999999998</v>
      </c>
      <c r="K973" s="12"/>
      <c r="L973" s="12">
        <f t="shared" si="311"/>
        <v>11021.630999999998</v>
      </c>
      <c r="M973" s="12">
        <f t="shared" si="303"/>
        <v>1028.3290725881693</v>
      </c>
      <c r="N973" s="12" t="e">
        <f t="shared" si="312"/>
        <v>#REF!</v>
      </c>
      <c r="O973" s="12" t="e">
        <f t="shared" si="313"/>
        <v>#REF!</v>
      </c>
      <c r="P973" s="12" t="e">
        <f t="shared" si="314"/>
        <v>#REF!</v>
      </c>
    </row>
    <row r="974" spans="1:16" ht="15.75" hidden="1" x14ac:dyDescent="0.25">
      <c r="A974" s="14">
        <v>18</v>
      </c>
      <c r="B974" s="14">
        <v>10</v>
      </c>
      <c r="C974" s="8" t="s">
        <v>1129</v>
      </c>
      <c r="D974" s="28" t="s">
        <v>2382</v>
      </c>
      <c r="E974" s="12" t="s">
        <v>1556</v>
      </c>
      <c r="F974" s="1"/>
      <c r="G974" s="1">
        <v>12.029</v>
      </c>
      <c r="H974" s="1">
        <v>0.23799999999999999</v>
      </c>
      <c r="I974" s="12">
        <f t="shared" si="310"/>
        <v>12.266999999999999</v>
      </c>
      <c r="J974" s="12">
        <f>21455.939-5071.363</f>
        <v>16384.575999999997</v>
      </c>
      <c r="K974" s="12"/>
      <c r="L974" s="12">
        <f t="shared" si="311"/>
        <v>16384.575999999997</v>
      </c>
      <c r="M974" s="12">
        <f t="shared" si="303"/>
        <v>1335.662835249042</v>
      </c>
      <c r="N974" s="12" t="e">
        <f t="shared" si="312"/>
        <v>#REF!</v>
      </c>
      <c r="O974" s="12" t="e">
        <f t="shared" si="313"/>
        <v>#REF!</v>
      </c>
      <c r="P974" s="12" t="e">
        <f t="shared" si="314"/>
        <v>#REF!</v>
      </c>
    </row>
    <row r="975" spans="1:16" ht="15.75" hidden="1" x14ac:dyDescent="0.25">
      <c r="A975" s="14">
        <v>18</v>
      </c>
      <c r="B975" s="14">
        <v>11</v>
      </c>
      <c r="C975" s="8" t="s">
        <v>1129</v>
      </c>
      <c r="D975" s="28" t="s">
        <v>2383</v>
      </c>
      <c r="E975" s="12" t="s">
        <v>1557</v>
      </c>
      <c r="F975" s="1"/>
      <c r="G975" s="1">
        <v>13.135</v>
      </c>
      <c r="H975" s="1">
        <v>5.0999999999999997E-2</v>
      </c>
      <c r="I975" s="12">
        <f t="shared" si="310"/>
        <v>13.186</v>
      </c>
      <c r="J975" s="12">
        <f>20266.083-5606.871</f>
        <v>14659.212</v>
      </c>
      <c r="K975" s="12"/>
      <c r="L975" s="12">
        <f t="shared" si="311"/>
        <v>14659.212</v>
      </c>
      <c r="M975" s="12">
        <f t="shared" si="303"/>
        <v>1111.7254664037616</v>
      </c>
      <c r="N975" s="12" t="e">
        <f t="shared" si="312"/>
        <v>#REF!</v>
      </c>
      <c r="O975" s="12" t="e">
        <f t="shared" si="313"/>
        <v>#REF!</v>
      </c>
      <c r="P975" s="12" t="e">
        <f t="shared" si="314"/>
        <v>#REF!</v>
      </c>
    </row>
    <row r="976" spans="1:16" ht="15.75" hidden="1" x14ac:dyDescent="0.25">
      <c r="A976" s="14">
        <v>18</v>
      </c>
      <c r="B976" s="14">
        <v>12</v>
      </c>
      <c r="C976" s="8" t="s">
        <v>1129</v>
      </c>
      <c r="D976" s="28" t="s">
        <v>2384</v>
      </c>
      <c r="E976" s="12" t="s">
        <v>1558</v>
      </c>
      <c r="F976" s="1"/>
      <c r="G976" s="1">
        <v>18.157</v>
      </c>
      <c r="H976" s="1">
        <v>0.11899999999999999</v>
      </c>
      <c r="I976" s="12">
        <f t="shared" si="310"/>
        <v>18.276</v>
      </c>
      <c r="J976" s="12">
        <f>34937.992-7259.271-10744.232</f>
        <v>16934.488999999998</v>
      </c>
      <c r="K976" s="12"/>
      <c r="L976" s="12">
        <f t="shared" si="311"/>
        <v>16934.488999999998</v>
      </c>
      <c r="M976" s="12">
        <f t="shared" si="303"/>
        <v>926.59712190851383</v>
      </c>
      <c r="N976" s="12" t="e">
        <f t="shared" si="312"/>
        <v>#REF!</v>
      </c>
      <c r="O976" s="12" t="e">
        <f t="shared" si="313"/>
        <v>#REF!</v>
      </c>
      <c r="P976" s="12" t="e">
        <f t="shared" si="314"/>
        <v>#REF!</v>
      </c>
    </row>
    <row r="977" spans="1:16" ht="15.75" hidden="1" x14ac:dyDescent="0.25">
      <c r="A977" s="14">
        <v>18</v>
      </c>
      <c r="B977" s="14">
        <v>13</v>
      </c>
      <c r="C977" s="8" t="s">
        <v>1129</v>
      </c>
      <c r="D977" s="28" t="s">
        <v>2385</v>
      </c>
      <c r="E977" s="12" t="s">
        <v>1559</v>
      </c>
      <c r="F977" s="1"/>
      <c r="G977" s="1">
        <v>5.9489999999999998</v>
      </c>
      <c r="H977" s="1">
        <v>5.5E-2</v>
      </c>
      <c r="I977" s="12">
        <f t="shared" si="310"/>
        <v>6.0039999999999996</v>
      </c>
      <c r="J977" s="12">
        <f>30736.924-3078.152-1624.909-18373.398</f>
        <v>7660.4649999999965</v>
      </c>
      <c r="K977" s="12"/>
      <c r="L977" s="12">
        <f t="shared" si="311"/>
        <v>7660.4649999999965</v>
      </c>
      <c r="M977" s="12">
        <f t="shared" si="303"/>
        <v>1275.8935709526977</v>
      </c>
      <c r="N977" s="12" t="e">
        <f t="shared" si="312"/>
        <v>#REF!</v>
      </c>
      <c r="O977" s="12" t="e">
        <f t="shared" si="313"/>
        <v>#REF!</v>
      </c>
      <c r="P977" s="12" t="e">
        <f t="shared" si="314"/>
        <v>#REF!</v>
      </c>
    </row>
    <row r="978" spans="1:16" ht="15.75" hidden="1" x14ac:dyDescent="0.25">
      <c r="A978" s="14">
        <v>18</v>
      </c>
      <c r="B978" s="14">
        <v>14</v>
      </c>
      <c r="C978" s="8" t="s">
        <v>1129</v>
      </c>
      <c r="D978" s="28" t="s">
        <v>2386</v>
      </c>
      <c r="E978" s="12" t="s">
        <v>1560</v>
      </c>
      <c r="F978" s="1"/>
      <c r="G978" s="1">
        <v>13.413</v>
      </c>
      <c r="H978" s="1">
        <v>0.114</v>
      </c>
      <c r="I978" s="12">
        <f t="shared" si="310"/>
        <v>13.527000000000001</v>
      </c>
      <c r="J978" s="12">
        <f>29179.402-21453.329</f>
        <v>7726.0729999999967</v>
      </c>
      <c r="K978" s="12"/>
      <c r="L978" s="12">
        <f t="shared" si="311"/>
        <v>7726.0729999999967</v>
      </c>
      <c r="M978" s="12">
        <f t="shared" si="303"/>
        <v>571.15938493383578</v>
      </c>
      <c r="N978" s="12" t="e">
        <f t="shared" si="312"/>
        <v>#REF!</v>
      </c>
      <c r="O978" s="12" t="e">
        <f t="shared" si="313"/>
        <v>#REF!</v>
      </c>
      <c r="P978" s="12" t="e">
        <f t="shared" si="314"/>
        <v>#REF!</v>
      </c>
    </row>
    <row r="979" spans="1:16" ht="15.75" hidden="1" x14ac:dyDescent="0.25">
      <c r="A979" s="14">
        <v>18</v>
      </c>
      <c r="B979" s="14">
        <v>15</v>
      </c>
      <c r="C979" s="8" t="s">
        <v>1129</v>
      </c>
      <c r="D979" s="28" t="s">
        <v>2387</v>
      </c>
      <c r="E979" s="12" t="s">
        <v>1561</v>
      </c>
      <c r="F979" s="1"/>
      <c r="G979" s="1">
        <v>19.561</v>
      </c>
      <c r="H979" s="1">
        <v>0.18</v>
      </c>
      <c r="I979" s="12">
        <f t="shared" si="310"/>
        <v>19.741</v>
      </c>
      <c r="J979" s="12">
        <v>28216.707999999999</v>
      </c>
      <c r="K979" s="12"/>
      <c r="L979" s="12">
        <f t="shared" si="311"/>
        <v>28216.707999999999</v>
      </c>
      <c r="M979" s="12">
        <f t="shared" si="303"/>
        <v>1429.3454232308393</v>
      </c>
      <c r="N979" s="12" t="e">
        <f t="shared" si="312"/>
        <v>#REF!</v>
      </c>
      <c r="O979" s="12" t="e">
        <f t="shared" si="313"/>
        <v>#REF!</v>
      </c>
      <c r="P979" s="12" t="e">
        <f t="shared" si="314"/>
        <v>#REF!</v>
      </c>
    </row>
    <row r="980" spans="1:16" ht="15.75" hidden="1" x14ac:dyDescent="0.25">
      <c r="A980" s="14">
        <v>18</v>
      </c>
      <c r="B980" s="14">
        <v>16</v>
      </c>
      <c r="C980" s="8" t="s">
        <v>1129</v>
      </c>
      <c r="D980" s="28" t="s">
        <v>2388</v>
      </c>
      <c r="E980" s="12" t="s">
        <v>1562</v>
      </c>
      <c r="F980" s="1"/>
      <c r="G980" s="1">
        <v>18.591000000000001</v>
      </c>
      <c r="H980" s="1">
        <v>0.14000000000000001</v>
      </c>
      <c r="I980" s="12">
        <f t="shared" si="310"/>
        <v>18.731000000000002</v>
      </c>
      <c r="J980" s="12">
        <v>30411.213</v>
      </c>
      <c r="K980" s="12"/>
      <c r="L980" s="12">
        <f t="shared" si="311"/>
        <v>30411.213</v>
      </c>
      <c r="M980" s="12">
        <f t="shared" si="303"/>
        <v>1623.5765842720623</v>
      </c>
      <c r="N980" s="12" t="e">
        <f t="shared" si="312"/>
        <v>#REF!</v>
      </c>
      <c r="O980" s="12" t="e">
        <f t="shared" si="313"/>
        <v>#REF!</v>
      </c>
      <c r="P980" s="12" t="e">
        <f t="shared" si="314"/>
        <v>#REF!</v>
      </c>
    </row>
    <row r="981" spans="1:16" ht="15.75" hidden="1" x14ac:dyDescent="0.25">
      <c r="A981" s="14">
        <v>18</v>
      </c>
      <c r="B981" s="14">
        <v>17</v>
      </c>
      <c r="C981" s="8" t="s">
        <v>1129</v>
      </c>
      <c r="D981" s="28" t="s">
        <v>2389</v>
      </c>
      <c r="E981" s="12" t="s">
        <v>1563</v>
      </c>
      <c r="F981" s="1"/>
      <c r="G981" s="1">
        <v>6.3739999999999997</v>
      </c>
      <c r="H981" s="1">
        <v>0.06</v>
      </c>
      <c r="I981" s="12">
        <f t="shared" si="310"/>
        <v>6.4339999999999993</v>
      </c>
      <c r="J981" s="12">
        <f>30515.454-13454.902-6148.706-3962.301</f>
        <v>6949.5450000000037</v>
      </c>
      <c r="K981" s="12"/>
      <c r="L981" s="12">
        <f t="shared" si="311"/>
        <v>6949.5450000000037</v>
      </c>
      <c r="M981" s="12">
        <f t="shared" si="303"/>
        <v>1080.1282250543993</v>
      </c>
      <c r="N981" s="12" t="e">
        <f t="shared" si="312"/>
        <v>#REF!</v>
      </c>
      <c r="O981" s="12" t="e">
        <f t="shared" si="313"/>
        <v>#REF!</v>
      </c>
      <c r="P981" s="12" t="e">
        <f t="shared" si="314"/>
        <v>#REF!</v>
      </c>
    </row>
    <row r="982" spans="1:16" ht="15.75" hidden="1" x14ac:dyDescent="0.25">
      <c r="A982" s="14">
        <v>18</v>
      </c>
      <c r="B982" s="14">
        <v>18</v>
      </c>
      <c r="C982" s="8" t="s">
        <v>1129</v>
      </c>
      <c r="D982" s="28" t="s">
        <v>2390</v>
      </c>
      <c r="E982" s="12" t="s">
        <v>1564</v>
      </c>
      <c r="F982" s="1"/>
      <c r="G982" s="1">
        <v>2.9049999999999998</v>
      </c>
      <c r="H982" s="1">
        <v>3.4000000000000002E-2</v>
      </c>
      <c r="I982" s="12">
        <f t="shared" si="310"/>
        <v>2.9389999999999996</v>
      </c>
      <c r="J982" s="12">
        <f>39963.985-3897.525-14745.547-16679.617-2401.737</f>
        <v>2239.559000000002</v>
      </c>
      <c r="K982" s="12"/>
      <c r="L982" s="12">
        <f t="shared" si="311"/>
        <v>2239.559000000002</v>
      </c>
      <c r="M982" s="12">
        <f t="shared" si="303"/>
        <v>762.01395032324001</v>
      </c>
      <c r="N982" s="12" t="e">
        <f t="shared" si="312"/>
        <v>#REF!</v>
      </c>
      <c r="O982" s="12" t="e">
        <f t="shared" si="313"/>
        <v>#REF!</v>
      </c>
      <c r="P982" s="12" t="e">
        <f t="shared" si="314"/>
        <v>#REF!</v>
      </c>
    </row>
    <row r="983" spans="1:16" ht="15.75" hidden="1" x14ac:dyDescent="0.25">
      <c r="A983" s="14">
        <v>18</v>
      </c>
      <c r="B983" s="14">
        <v>19</v>
      </c>
      <c r="C983" s="8" t="s">
        <v>1129</v>
      </c>
      <c r="D983" s="28" t="s">
        <v>2391</v>
      </c>
      <c r="E983" s="12" t="s">
        <v>1565</v>
      </c>
      <c r="F983" s="1"/>
      <c r="G983" s="1">
        <v>23.68</v>
      </c>
      <c r="H983" s="1">
        <v>0.26900000000000002</v>
      </c>
      <c r="I983" s="12">
        <f t="shared" si="310"/>
        <v>23.948999999999998</v>
      </c>
      <c r="J983" s="12">
        <f>21981.538-3680.33</f>
        <v>18301.207999999999</v>
      </c>
      <c r="K983" s="12"/>
      <c r="L983" s="12">
        <f t="shared" si="311"/>
        <v>18301.207999999999</v>
      </c>
      <c r="M983" s="12">
        <f t="shared" si="303"/>
        <v>764.17420351580438</v>
      </c>
      <c r="N983" s="12" t="e">
        <f t="shared" si="312"/>
        <v>#REF!</v>
      </c>
      <c r="O983" s="12" t="e">
        <f t="shared" si="313"/>
        <v>#REF!</v>
      </c>
      <c r="P983" s="12" t="e">
        <f t="shared" si="314"/>
        <v>#REF!</v>
      </c>
    </row>
    <row r="984" spans="1:16" ht="15.75" hidden="1" x14ac:dyDescent="0.25">
      <c r="A984" s="14">
        <v>18</v>
      </c>
      <c r="B984" s="14">
        <v>20</v>
      </c>
      <c r="C984" s="8" t="s">
        <v>1129</v>
      </c>
      <c r="D984" s="28" t="s">
        <v>2392</v>
      </c>
      <c r="E984" s="12" t="s">
        <v>1566</v>
      </c>
      <c r="F984" s="1"/>
      <c r="G984" s="1">
        <v>32.731999999999999</v>
      </c>
      <c r="H984" s="1">
        <v>0.36699999999999999</v>
      </c>
      <c r="I984" s="12">
        <f t="shared" si="310"/>
        <v>33.098999999999997</v>
      </c>
      <c r="J984" s="12">
        <v>41811.069000000003</v>
      </c>
      <c r="K984" s="12"/>
      <c r="L984" s="12">
        <f t="shared" si="311"/>
        <v>41811.069000000003</v>
      </c>
      <c r="M984" s="12">
        <f t="shared" si="303"/>
        <v>1263.2124535484459</v>
      </c>
      <c r="N984" s="12" t="e">
        <f t="shared" si="312"/>
        <v>#REF!</v>
      </c>
      <c r="O984" s="12" t="e">
        <f t="shared" si="313"/>
        <v>#REF!</v>
      </c>
      <c r="P984" s="12" t="e">
        <f t="shared" si="314"/>
        <v>#REF!</v>
      </c>
    </row>
    <row r="985" spans="1:16" ht="15.75" hidden="1" x14ac:dyDescent="0.25">
      <c r="A985" s="14">
        <v>18</v>
      </c>
      <c r="B985" s="14">
        <v>21</v>
      </c>
      <c r="C985" s="8" t="s">
        <v>1129</v>
      </c>
      <c r="D985" s="28" t="s">
        <v>2393</v>
      </c>
      <c r="E985" s="12" t="s">
        <v>1567</v>
      </c>
      <c r="F985" s="1"/>
      <c r="G985" s="1">
        <v>11.526999999999999</v>
      </c>
      <c r="H985" s="1">
        <v>0.20200000000000001</v>
      </c>
      <c r="I985" s="12">
        <f t="shared" si="310"/>
        <v>11.728999999999999</v>
      </c>
      <c r="J985" s="12">
        <f>13350.404-4009.7</f>
        <v>9340.7040000000015</v>
      </c>
      <c r="K985" s="12"/>
      <c r="L985" s="12">
        <f t="shared" si="311"/>
        <v>9340.7040000000015</v>
      </c>
      <c r="M985" s="12">
        <f t="shared" si="303"/>
        <v>796.37684372069248</v>
      </c>
      <c r="N985" s="12" t="e">
        <f t="shared" si="312"/>
        <v>#REF!</v>
      </c>
      <c r="O985" s="12" t="e">
        <f t="shared" si="313"/>
        <v>#REF!</v>
      </c>
      <c r="P985" s="12" t="e">
        <f t="shared" si="314"/>
        <v>#REF!</v>
      </c>
    </row>
    <row r="986" spans="1:16" ht="15.75" hidden="1" x14ac:dyDescent="0.25">
      <c r="A986" s="14">
        <v>18</v>
      </c>
      <c r="B986" s="14">
        <v>22</v>
      </c>
      <c r="C986" s="8" t="s">
        <v>1129</v>
      </c>
      <c r="D986" s="28" t="s">
        <v>2394</v>
      </c>
      <c r="E986" s="12" t="s">
        <v>1568</v>
      </c>
      <c r="F986" s="1"/>
      <c r="G986" s="1">
        <v>31.231999999999999</v>
      </c>
      <c r="H986" s="1">
        <v>0.17499999999999999</v>
      </c>
      <c r="I986" s="12">
        <f t="shared" si="310"/>
        <v>31.407</v>
      </c>
      <c r="J986" s="12">
        <f>70090.151-3318.11-1871.05-14993.351-5787.731-10392.699-1962.952</f>
        <v>31764.257999999991</v>
      </c>
      <c r="K986" s="12">
        <f>8274.68778*0.6+1795.79623*0.6</f>
        <v>6042.2904059999992</v>
      </c>
      <c r="L986" s="12">
        <f t="shared" si="311"/>
        <v>37806.548405999987</v>
      </c>
      <c r="M986" s="12">
        <f t="shared" si="303"/>
        <v>1203.7618494603109</v>
      </c>
      <c r="N986" s="12" t="e">
        <f t="shared" si="312"/>
        <v>#REF!</v>
      </c>
      <c r="O986" s="12" t="e">
        <f t="shared" si="313"/>
        <v>#REF!</v>
      </c>
      <c r="P986" s="12" t="e">
        <f t="shared" si="314"/>
        <v>#REF!</v>
      </c>
    </row>
    <row r="987" spans="1:16" ht="15.75" hidden="1" x14ac:dyDescent="0.25">
      <c r="A987" s="14">
        <v>18</v>
      </c>
      <c r="B987" s="14">
        <v>23</v>
      </c>
      <c r="C987" s="8" t="s">
        <v>1129</v>
      </c>
      <c r="D987" s="28" t="s">
        <v>2395</v>
      </c>
      <c r="E987" s="12" t="s">
        <v>1150</v>
      </c>
      <c r="F987" s="1"/>
      <c r="G987" s="1">
        <v>7.4089999999999998</v>
      </c>
      <c r="H987" s="1">
        <v>6.8000000000000005E-2</v>
      </c>
      <c r="I987" s="12">
        <f t="shared" si="310"/>
        <v>7.4769999999999994</v>
      </c>
      <c r="J987" s="12">
        <f>54259.042-7744.936-37756.816</f>
        <v>8757.2900000000009</v>
      </c>
      <c r="K987" s="12"/>
      <c r="L987" s="12">
        <f t="shared" si="311"/>
        <v>8757.2900000000009</v>
      </c>
      <c r="M987" s="12">
        <f t="shared" si="303"/>
        <v>1171.2304400160494</v>
      </c>
      <c r="N987" s="12" t="e">
        <f t="shared" si="312"/>
        <v>#REF!</v>
      </c>
      <c r="O987" s="12" t="e">
        <f t="shared" si="313"/>
        <v>#REF!</v>
      </c>
      <c r="P987" s="12" t="e">
        <f t="shared" si="314"/>
        <v>#REF!</v>
      </c>
    </row>
    <row r="988" spans="1:16" ht="15.75" hidden="1" x14ac:dyDescent="0.25">
      <c r="A988" s="14">
        <v>18</v>
      </c>
      <c r="B988" s="14">
        <v>24</v>
      </c>
      <c r="C988" s="8" t="s">
        <v>1129</v>
      </c>
      <c r="D988" s="28" t="s">
        <v>2396</v>
      </c>
      <c r="E988" s="12" t="s">
        <v>1569</v>
      </c>
      <c r="F988" s="1"/>
      <c r="G988" s="1">
        <v>20.428999999999998</v>
      </c>
      <c r="H988" s="1">
        <v>0.11600000000000001</v>
      </c>
      <c r="I988" s="12">
        <f t="shared" si="310"/>
        <v>20.544999999999998</v>
      </c>
      <c r="J988" s="12">
        <v>13704.045</v>
      </c>
      <c r="K988" s="12"/>
      <c r="L988" s="12">
        <f t="shared" si="311"/>
        <v>13704.045</v>
      </c>
      <c r="M988" s="12">
        <f t="shared" si="303"/>
        <v>667.02579703090782</v>
      </c>
      <c r="N988" s="12" t="e">
        <f t="shared" si="312"/>
        <v>#REF!</v>
      </c>
      <c r="O988" s="12" t="e">
        <f t="shared" si="313"/>
        <v>#REF!</v>
      </c>
      <c r="P988" s="12" t="e">
        <f t="shared" si="314"/>
        <v>#REF!</v>
      </c>
    </row>
    <row r="989" spans="1:16" ht="15.75" hidden="1" x14ac:dyDescent="0.25">
      <c r="A989" s="14">
        <v>18</v>
      </c>
      <c r="B989" s="14">
        <v>25</v>
      </c>
      <c r="C989" s="8" t="s">
        <v>1129</v>
      </c>
      <c r="D989" s="28" t="s">
        <v>2397</v>
      </c>
      <c r="E989" s="12" t="s">
        <v>1156</v>
      </c>
      <c r="F989" s="1"/>
      <c r="G989" s="1">
        <v>17.835000000000001</v>
      </c>
      <c r="H989" s="1">
        <v>0.156</v>
      </c>
      <c r="I989" s="12">
        <f t="shared" si="310"/>
        <v>17.991</v>
      </c>
      <c r="J989" s="12">
        <f>22877.025-7594.922</f>
        <v>15282.103000000003</v>
      </c>
      <c r="K989" s="12"/>
      <c r="L989" s="12">
        <f t="shared" si="311"/>
        <v>15282.103000000003</v>
      </c>
      <c r="M989" s="12">
        <f t="shared" si="303"/>
        <v>849.43043744094291</v>
      </c>
      <c r="N989" s="12" t="e">
        <f t="shared" si="312"/>
        <v>#REF!</v>
      </c>
      <c r="O989" s="12" t="e">
        <f t="shared" si="313"/>
        <v>#REF!</v>
      </c>
      <c r="P989" s="12" t="e">
        <f t="shared" si="314"/>
        <v>#REF!</v>
      </c>
    </row>
    <row r="990" spans="1:16" ht="15.75" hidden="1" x14ac:dyDescent="0.25">
      <c r="A990" s="15">
        <v>18</v>
      </c>
      <c r="B990" s="15" t="s">
        <v>1126</v>
      </c>
      <c r="C990" s="10" t="s">
        <v>1743</v>
      </c>
      <c r="D990" s="29"/>
      <c r="E990" s="37" t="s">
        <v>1747</v>
      </c>
      <c r="F990" s="6"/>
      <c r="G990" s="37">
        <f t="shared" ref="G990:L990" si="315">SUM(G991:G1018)</f>
        <v>212.85400000000001</v>
      </c>
      <c r="H990" s="37">
        <f>SUM(H991:H1018)</f>
        <v>1.9380000000000002</v>
      </c>
      <c r="I990" s="37">
        <f t="shared" si="315"/>
        <v>214.79199999999997</v>
      </c>
      <c r="J990" s="37">
        <f t="shared" si="315"/>
        <v>270258.62069999997</v>
      </c>
      <c r="K990" s="37">
        <f t="shared" si="315"/>
        <v>0</v>
      </c>
      <c r="L990" s="37">
        <f t="shared" si="315"/>
        <v>270258.62069999997</v>
      </c>
      <c r="M990" s="37">
        <f t="shared" si="303"/>
        <v>1258.2341088122462</v>
      </c>
      <c r="N990" s="37" t="e">
        <f>M990/$M$1429</f>
        <v>#REF!</v>
      </c>
      <c r="O990" s="37" t="e">
        <f>SUM(O991:O1018)</f>
        <v>#REF!</v>
      </c>
      <c r="P990" s="37" t="e">
        <f>SUM(P991:P1018)</f>
        <v>#REF!</v>
      </c>
    </row>
    <row r="991" spans="1:16" ht="15.75" hidden="1" x14ac:dyDescent="0.25">
      <c r="A991" s="14">
        <v>18</v>
      </c>
      <c r="B991" s="14">
        <v>26</v>
      </c>
      <c r="C991" s="8" t="s">
        <v>1744</v>
      </c>
      <c r="D991" s="28" t="s">
        <v>2398</v>
      </c>
      <c r="E991" s="12" t="s">
        <v>1788</v>
      </c>
      <c r="F991" s="1"/>
      <c r="G991" s="1">
        <v>5.3869999999999996</v>
      </c>
      <c r="H991" s="1">
        <v>1.2999999999999999E-2</v>
      </c>
      <c r="I991" s="12">
        <f t="shared" ref="I991:I1018" si="316">H991+G991</f>
        <v>5.3999999999999995</v>
      </c>
      <c r="J991" s="12">
        <v>5602.7407000000003</v>
      </c>
      <c r="K991" s="12"/>
      <c r="L991" s="12">
        <f t="shared" ref="L991:L1017" si="317">J991+K991</f>
        <v>5602.7407000000003</v>
      </c>
      <c r="M991" s="12">
        <f t="shared" si="303"/>
        <v>1037.5445740740743</v>
      </c>
      <c r="N991" s="12" t="e">
        <f t="shared" ref="N991:N1018" si="318">M991/$M$1433</f>
        <v>#REF!</v>
      </c>
      <c r="O991" s="12" t="e">
        <f t="shared" ref="O991:O1018" si="319">ROUND(IF(N991&lt;110%,0,(M991-$M$1433*1.1)*0.8)*I991,1)</f>
        <v>#REF!</v>
      </c>
      <c r="P991" s="12" t="e">
        <f t="shared" ref="P991:P1018" si="320">ROUND(IF(N991&gt;90%,0,(-M991+$M$1433*0.9)*0.8)*I991,1)</f>
        <v>#REF!</v>
      </c>
    </row>
    <row r="992" spans="1:16" ht="15.75" hidden="1" x14ac:dyDescent="0.25">
      <c r="A992" s="14">
        <v>18</v>
      </c>
      <c r="B992" s="14">
        <v>27</v>
      </c>
      <c r="C992" s="8" t="s">
        <v>1744</v>
      </c>
      <c r="D992" s="28" t="s">
        <v>389</v>
      </c>
      <c r="E992" s="12" t="s">
        <v>390</v>
      </c>
      <c r="F992" s="1"/>
      <c r="G992" s="1">
        <v>5.7430000000000003</v>
      </c>
      <c r="H992" s="1">
        <v>4.2999999999999997E-2</v>
      </c>
      <c r="I992" s="12">
        <f t="shared" si="316"/>
        <v>5.7860000000000005</v>
      </c>
      <c r="J992" s="12">
        <v>7594.9219999999996</v>
      </c>
      <c r="K992" s="12"/>
      <c r="L992" s="12">
        <f t="shared" si="317"/>
        <v>7594.9219999999996</v>
      </c>
      <c r="M992" s="12">
        <f t="shared" si="303"/>
        <v>1312.637746284134</v>
      </c>
      <c r="N992" s="12" t="e">
        <f t="shared" si="318"/>
        <v>#REF!</v>
      </c>
      <c r="O992" s="12" t="e">
        <f t="shared" si="319"/>
        <v>#REF!</v>
      </c>
      <c r="P992" s="12" t="e">
        <f t="shared" si="320"/>
        <v>#REF!</v>
      </c>
    </row>
    <row r="993" spans="1:16" ht="15.75" hidden="1" x14ac:dyDescent="0.25">
      <c r="A993" s="14">
        <v>18</v>
      </c>
      <c r="B993" s="14">
        <v>28</v>
      </c>
      <c r="C993" s="8" t="s">
        <v>1744</v>
      </c>
      <c r="D993" s="28" t="s">
        <v>391</v>
      </c>
      <c r="E993" s="12" t="s">
        <v>392</v>
      </c>
      <c r="F993" s="1"/>
      <c r="G993" s="1">
        <v>4.76</v>
      </c>
      <c r="H993" s="1">
        <v>5.2999999999999999E-2</v>
      </c>
      <c r="I993" s="12">
        <f t="shared" si="316"/>
        <v>4.8129999999999997</v>
      </c>
      <c r="J993" s="12">
        <v>4009.7</v>
      </c>
      <c r="K993" s="12"/>
      <c r="L993" s="12">
        <f t="shared" si="317"/>
        <v>4009.7</v>
      </c>
      <c r="M993" s="12">
        <f t="shared" si="303"/>
        <v>833.09785996260132</v>
      </c>
      <c r="N993" s="12" t="e">
        <f t="shared" si="318"/>
        <v>#REF!</v>
      </c>
      <c r="O993" s="12" t="e">
        <f t="shared" si="319"/>
        <v>#REF!</v>
      </c>
      <c r="P993" s="12" t="e">
        <f t="shared" si="320"/>
        <v>#REF!</v>
      </c>
    </row>
    <row r="994" spans="1:16" ht="15.75" hidden="1" x14ac:dyDescent="0.25">
      <c r="A994" s="14">
        <v>18</v>
      </c>
      <c r="B994" s="14">
        <v>29</v>
      </c>
      <c r="C994" s="8" t="s">
        <v>1744</v>
      </c>
      <c r="D994" s="28" t="s">
        <v>393</v>
      </c>
      <c r="E994" s="12" t="s">
        <v>394</v>
      </c>
      <c r="F994" s="1"/>
      <c r="G994" s="1">
        <v>6.8419999999999996</v>
      </c>
      <c r="H994" s="1">
        <v>8.3000000000000004E-2</v>
      </c>
      <c r="I994" s="12">
        <f t="shared" si="316"/>
        <v>6.9249999999999998</v>
      </c>
      <c r="J994" s="12">
        <v>5071.3630000000003</v>
      </c>
      <c r="K994" s="12"/>
      <c r="L994" s="12">
        <f t="shared" si="317"/>
        <v>5071.3630000000003</v>
      </c>
      <c r="M994" s="12">
        <f t="shared" si="303"/>
        <v>732.32678700361021</v>
      </c>
      <c r="N994" s="12" t="e">
        <f t="shared" si="318"/>
        <v>#REF!</v>
      </c>
      <c r="O994" s="12" t="e">
        <f t="shared" si="319"/>
        <v>#REF!</v>
      </c>
      <c r="P994" s="12" t="e">
        <f t="shared" si="320"/>
        <v>#REF!</v>
      </c>
    </row>
    <row r="995" spans="1:16" ht="15.75" hidden="1" x14ac:dyDescent="0.25">
      <c r="A995" s="14">
        <v>18</v>
      </c>
      <c r="B995" s="14">
        <v>30</v>
      </c>
      <c r="C995" s="8" t="s">
        <v>1744</v>
      </c>
      <c r="D995" s="28" t="s">
        <v>395</v>
      </c>
      <c r="E995" s="12" t="s">
        <v>396</v>
      </c>
      <c r="F995" s="1"/>
      <c r="G995" s="1">
        <v>10.289</v>
      </c>
      <c r="H995" s="1">
        <v>0.08</v>
      </c>
      <c r="I995" s="12">
        <f t="shared" si="316"/>
        <v>10.369</v>
      </c>
      <c r="J995" s="12">
        <v>11929.686</v>
      </c>
      <c r="K995" s="12"/>
      <c r="L995" s="12">
        <f t="shared" si="317"/>
        <v>11929.686</v>
      </c>
      <c r="M995" s="12">
        <f t="shared" si="303"/>
        <v>1150.5146108592921</v>
      </c>
      <c r="N995" s="12" t="e">
        <f t="shared" si="318"/>
        <v>#REF!</v>
      </c>
      <c r="O995" s="12" t="e">
        <f t="shared" si="319"/>
        <v>#REF!</v>
      </c>
      <c r="P995" s="12" t="e">
        <f t="shared" si="320"/>
        <v>#REF!</v>
      </c>
    </row>
    <row r="996" spans="1:16" ht="15.75" hidden="1" x14ac:dyDescent="0.25">
      <c r="A996" s="14">
        <v>18</v>
      </c>
      <c r="B996" s="14">
        <v>31</v>
      </c>
      <c r="C996" s="8" t="s">
        <v>1744</v>
      </c>
      <c r="D996" s="28" t="s">
        <v>397</v>
      </c>
      <c r="E996" s="12" t="s">
        <v>398</v>
      </c>
      <c r="F996" s="1"/>
      <c r="G996" s="1">
        <v>8.7690000000000001</v>
      </c>
      <c r="H996" s="1">
        <v>0.13400000000000001</v>
      </c>
      <c r="I996" s="12">
        <f t="shared" si="316"/>
        <v>8.9030000000000005</v>
      </c>
      <c r="J996" s="12">
        <v>13454.902</v>
      </c>
      <c r="K996" s="12"/>
      <c r="L996" s="12">
        <f t="shared" si="317"/>
        <v>13454.902</v>
      </c>
      <c r="M996" s="12">
        <f t="shared" si="303"/>
        <v>1511.2773222509265</v>
      </c>
      <c r="N996" s="12" t="e">
        <f t="shared" si="318"/>
        <v>#REF!</v>
      </c>
      <c r="O996" s="12" t="e">
        <f t="shared" si="319"/>
        <v>#REF!</v>
      </c>
      <c r="P996" s="12" t="e">
        <f t="shared" si="320"/>
        <v>#REF!</v>
      </c>
    </row>
    <row r="997" spans="1:16" ht="15.75" hidden="1" x14ac:dyDescent="0.25">
      <c r="A997" s="14">
        <v>18</v>
      </c>
      <c r="B997" s="14">
        <v>32</v>
      </c>
      <c r="C997" s="8" t="s">
        <v>1744</v>
      </c>
      <c r="D997" s="28" t="s">
        <v>399</v>
      </c>
      <c r="E997" s="12" t="s">
        <v>400</v>
      </c>
      <c r="F997" s="1"/>
      <c r="G997" s="1">
        <v>5.5620000000000003</v>
      </c>
      <c r="H997" s="1">
        <v>3.3000000000000002E-2</v>
      </c>
      <c r="I997" s="12">
        <f t="shared" si="316"/>
        <v>5.5950000000000006</v>
      </c>
      <c r="J997" s="12">
        <v>5787.7309999999998</v>
      </c>
      <c r="K997" s="12"/>
      <c r="L997" s="12">
        <f t="shared" si="317"/>
        <v>5787.7309999999998</v>
      </c>
      <c r="M997" s="12">
        <f t="shared" si="303"/>
        <v>1034.4470062555852</v>
      </c>
      <c r="N997" s="12" t="e">
        <f t="shared" si="318"/>
        <v>#REF!</v>
      </c>
      <c r="O997" s="12" t="e">
        <f t="shared" si="319"/>
        <v>#REF!</v>
      </c>
      <c r="P997" s="12" t="e">
        <f t="shared" si="320"/>
        <v>#REF!</v>
      </c>
    </row>
    <row r="998" spans="1:16" ht="15.75" hidden="1" x14ac:dyDescent="0.25">
      <c r="A998" s="14">
        <v>18</v>
      </c>
      <c r="B998" s="14">
        <v>33</v>
      </c>
      <c r="C998" s="8" t="s">
        <v>1744</v>
      </c>
      <c r="D998" s="28" t="s">
        <v>401</v>
      </c>
      <c r="E998" s="12" t="s">
        <v>402</v>
      </c>
      <c r="F998" s="1"/>
      <c r="G998" s="1">
        <v>4.1950000000000003</v>
      </c>
      <c r="H998" s="1">
        <v>2.9000000000000001E-2</v>
      </c>
      <c r="I998" s="12">
        <f t="shared" si="316"/>
        <v>4.2240000000000002</v>
      </c>
      <c r="J998" s="12">
        <v>5606.8710000000001</v>
      </c>
      <c r="K998" s="12"/>
      <c r="L998" s="12">
        <f t="shared" si="317"/>
        <v>5606.8710000000001</v>
      </c>
      <c r="M998" s="12">
        <f t="shared" si="303"/>
        <v>1327.3842329545455</v>
      </c>
      <c r="N998" s="12" t="e">
        <f t="shared" si="318"/>
        <v>#REF!</v>
      </c>
      <c r="O998" s="12" t="e">
        <f t="shared" si="319"/>
        <v>#REF!</v>
      </c>
      <c r="P998" s="12" t="e">
        <f t="shared" si="320"/>
        <v>#REF!</v>
      </c>
    </row>
    <row r="999" spans="1:16" ht="15.75" hidden="1" x14ac:dyDescent="0.25">
      <c r="A999" s="14">
        <v>18</v>
      </c>
      <c r="B999" s="14">
        <v>34</v>
      </c>
      <c r="C999" s="8" t="s">
        <v>1744</v>
      </c>
      <c r="D999" s="28" t="s">
        <v>403</v>
      </c>
      <c r="E999" s="12" t="s">
        <v>404</v>
      </c>
      <c r="F999" s="1"/>
      <c r="G999" s="1">
        <v>3.5910000000000002</v>
      </c>
      <c r="H999" s="1">
        <v>2.1000000000000001E-2</v>
      </c>
      <c r="I999" s="12">
        <f t="shared" si="316"/>
        <v>3.6120000000000001</v>
      </c>
      <c r="J999" s="12">
        <v>1871.05</v>
      </c>
      <c r="K999" s="12"/>
      <c r="L999" s="12">
        <f t="shared" si="317"/>
        <v>1871.05</v>
      </c>
      <c r="M999" s="12">
        <f t="shared" si="303"/>
        <v>518.0094130675526</v>
      </c>
      <c r="N999" s="12" t="e">
        <f t="shared" si="318"/>
        <v>#REF!</v>
      </c>
      <c r="O999" s="12" t="e">
        <f t="shared" si="319"/>
        <v>#REF!</v>
      </c>
      <c r="P999" s="12" t="e">
        <f t="shared" si="320"/>
        <v>#REF!</v>
      </c>
    </row>
    <row r="1000" spans="1:16" ht="15.75" hidden="1" x14ac:dyDescent="0.25">
      <c r="A1000" s="14">
        <v>18</v>
      </c>
      <c r="B1000" s="14">
        <v>35</v>
      </c>
      <c r="C1000" s="8" t="s">
        <v>1744</v>
      </c>
      <c r="D1000" s="28" t="s">
        <v>405</v>
      </c>
      <c r="E1000" s="12" t="s">
        <v>406</v>
      </c>
      <c r="F1000" s="1"/>
      <c r="G1000" s="1">
        <v>5.4080000000000004</v>
      </c>
      <c r="H1000" s="1">
        <v>2.4E-2</v>
      </c>
      <c r="I1000" s="12">
        <f t="shared" si="316"/>
        <v>5.4320000000000004</v>
      </c>
      <c r="J1000" s="12">
        <v>7744.9359999999997</v>
      </c>
      <c r="K1000" s="12"/>
      <c r="L1000" s="12">
        <f t="shared" si="317"/>
        <v>7744.9359999999997</v>
      </c>
      <c r="M1000" s="12">
        <f t="shared" si="303"/>
        <v>1425.7982326951399</v>
      </c>
      <c r="N1000" s="12" t="e">
        <f t="shared" si="318"/>
        <v>#REF!</v>
      </c>
      <c r="O1000" s="12" t="e">
        <f t="shared" si="319"/>
        <v>#REF!</v>
      </c>
      <c r="P1000" s="12" t="e">
        <f t="shared" si="320"/>
        <v>#REF!</v>
      </c>
    </row>
    <row r="1001" spans="1:16" ht="15.75" hidden="1" x14ac:dyDescent="0.25">
      <c r="A1001" s="14">
        <v>18</v>
      </c>
      <c r="B1001" s="14">
        <v>36</v>
      </c>
      <c r="C1001" s="8" t="s">
        <v>1744</v>
      </c>
      <c r="D1001" s="28" t="s">
        <v>407</v>
      </c>
      <c r="E1001" s="12" t="s">
        <v>408</v>
      </c>
      <c r="F1001" s="1"/>
      <c r="G1001" s="1">
        <v>5.7460000000000004</v>
      </c>
      <c r="H1001" s="1">
        <v>6.9000000000000006E-2</v>
      </c>
      <c r="I1001" s="12">
        <f t="shared" si="316"/>
        <v>5.8150000000000004</v>
      </c>
      <c r="J1001" s="12">
        <v>3897.5250000000001</v>
      </c>
      <c r="K1001" s="12"/>
      <c r="L1001" s="12">
        <f t="shared" si="317"/>
        <v>3897.5250000000001</v>
      </c>
      <c r="M1001" s="12">
        <f t="shared" si="303"/>
        <v>670.2536543422184</v>
      </c>
      <c r="N1001" s="12" t="e">
        <f t="shared" si="318"/>
        <v>#REF!</v>
      </c>
      <c r="O1001" s="12" t="e">
        <f t="shared" si="319"/>
        <v>#REF!</v>
      </c>
      <c r="P1001" s="12" t="e">
        <f t="shared" si="320"/>
        <v>#REF!</v>
      </c>
    </row>
    <row r="1002" spans="1:16" ht="15.75" hidden="1" x14ac:dyDescent="0.25">
      <c r="A1002" s="14">
        <v>18</v>
      </c>
      <c r="B1002" s="14">
        <v>37</v>
      </c>
      <c r="C1002" s="8" t="s">
        <v>1744</v>
      </c>
      <c r="D1002" s="28" t="s">
        <v>409</v>
      </c>
      <c r="E1002" s="12" t="s">
        <v>410</v>
      </c>
      <c r="F1002" s="1"/>
      <c r="G1002" s="1">
        <v>4.3680000000000003</v>
      </c>
      <c r="H1002" s="1">
        <v>1.7000000000000001E-2</v>
      </c>
      <c r="I1002" s="12">
        <f t="shared" si="316"/>
        <v>4.3850000000000007</v>
      </c>
      <c r="J1002" s="12">
        <v>14993.351000000001</v>
      </c>
      <c r="K1002" s="12"/>
      <c r="L1002" s="12">
        <f t="shared" si="317"/>
        <v>14993.351000000001</v>
      </c>
      <c r="M1002" s="12">
        <f t="shared" si="303"/>
        <v>3419.2362599771945</v>
      </c>
      <c r="N1002" s="12" t="e">
        <f t="shared" si="318"/>
        <v>#REF!</v>
      </c>
      <c r="O1002" s="12" t="e">
        <f t="shared" si="319"/>
        <v>#REF!</v>
      </c>
      <c r="P1002" s="12" t="e">
        <f t="shared" si="320"/>
        <v>#REF!</v>
      </c>
    </row>
    <row r="1003" spans="1:16" ht="15.75" hidden="1" x14ac:dyDescent="0.25">
      <c r="A1003" s="14">
        <v>18</v>
      </c>
      <c r="B1003" s="14">
        <v>38</v>
      </c>
      <c r="C1003" s="8" t="s">
        <v>1744</v>
      </c>
      <c r="D1003" s="28" t="s">
        <v>411</v>
      </c>
      <c r="E1003" s="12" t="s">
        <v>412</v>
      </c>
      <c r="F1003" s="1"/>
      <c r="G1003" s="1">
        <v>4.5860000000000003</v>
      </c>
      <c r="H1003" s="1">
        <v>6.2E-2</v>
      </c>
      <c r="I1003" s="12">
        <f t="shared" si="316"/>
        <v>4.6480000000000006</v>
      </c>
      <c r="J1003" s="12">
        <v>3078.152</v>
      </c>
      <c r="K1003" s="12"/>
      <c r="L1003" s="12">
        <f t="shared" si="317"/>
        <v>3078.152</v>
      </c>
      <c r="M1003" s="12">
        <f t="shared" si="303"/>
        <v>662.25301204819266</v>
      </c>
      <c r="N1003" s="12" t="e">
        <f t="shared" si="318"/>
        <v>#REF!</v>
      </c>
      <c r="O1003" s="12" t="e">
        <f t="shared" si="319"/>
        <v>#REF!</v>
      </c>
      <c r="P1003" s="12" t="e">
        <f t="shared" si="320"/>
        <v>#REF!</v>
      </c>
    </row>
    <row r="1004" spans="1:16" ht="15.75" hidden="1" x14ac:dyDescent="0.25">
      <c r="A1004" s="14">
        <v>18</v>
      </c>
      <c r="B1004" s="14">
        <v>39</v>
      </c>
      <c r="C1004" s="8" t="s">
        <v>1744</v>
      </c>
      <c r="D1004" s="28" t="s">
        <v>413</v>
      </c>
      <c r="E1004" s="12" t="s">
        <v>414</v>
      </c>
      <c r="F1004" s="1"/>
      <c r="G1004" s="1">
        <v>6.0620000000000003</v>
      </c>
      <c r="H1004" s="1">
        <v>6.4000000000000001E-2</v>
      </c>
      <c r="I1004" s="12">
        <f t="shared" si="316"/>
        <v>6.1260000000000003</v>
      </c>
      <c r="J1004" s="12">
        <v>3318.11</v>
      </c>
      <c r="K1004" s="12"/>
      <c r="L1004" s="12">
        <f t="shared" si="317"/>
        <v>3318.11</v>
      </c>
      <c r="M1004" s="12">
        <f t="shared" si="303"/>
        <v>541.6438132549788</v>
      </c>
      <c r="N1004" s="12" t="e">
        <f t="shared" si="318"/>
        <v>#REF!</v>
      </c>
      <c r="O1004" s="12" t="e">
        <f t="shared" si="319"/>
        <v>#REF!</v>
      </c>
      <c r="P1004" s="12" t="e">
        <f t="shared" si="320"/>
        <v>#REF!</v>
      </c>
    </row>
    <row r="1005" spans="1:16" ht="15.75" hidden="1" x14ac:dyDescent="0.25">
      <c r="A1005" s="14">
        <v>18</v>
      </c>
      <c r="B1005" s="14">
        <v>43</v>
      </c>
      <c r="C1005" s="8" t="s">
        <v>1744</v>
      </c>
      <c r="D1005" s="28" t="s">
        <v>555</v>
      </c>
      <c r="E1005" s="38" t="s">
        <v>559</v>
      </c>
      <c r="F1005" s="39"/>
      <c r="G1005" s="39">
        <v>5.0380000000000003</v>
      </c>
      <c r="H1005" s="39">
        <v>9.8000000000000004E-2</v>
      </c>
      <c r="I1005" s="12">
        <f t="shared" si="316"/>
        <v>5.1360000000000001</v>
      </c>
      <c r="J1005" s="38">
        <v>6148.7060000000001</v>
      </c>
      <c r="K1005" s="38"/>
      <c r="L1005" s="38">
        <f t="shared" si="317"/>
        <v>6148.7060000000001</v>
      </c>
      <c r="M1005" s="38">
        <f t="shared" si="303"/>
        <v>1197.1779595015576</v>
      </c>
      <c r="N1005" s="12" t="e">
        <f t="shared" si="318"/>
        <v>#REF!</v>
      </c>
      <c r="O1005" s="12" t="e">
        <f t="shared" si="319"/>
        <v>#REF!</v>
      </c>
      <c r="P1005" s="12" t="e">
        <f t="shared" si="320"/>
        <v>#REF!</v>
      </c>
    </row>
    <row r="1006" spans="1:16" ht="15.75" hidden="1" x14ac:dyDescent="0.25">
      <c r="A1006" s="14">
        <v>18</v>
      </c>
      <c r="B1006" s="14">
        <v>44</v>
      </c>
      <c r="C1006" s="8" t="s">
        <v>1744</v>
      </c>
      <c r="D1006" s="28" t="s">
        <v>556</v>
      </c>
      <c r="E1006" s="42" t="s">
        <v>880</v>
      </c>
      <c r="F1006" s="43"/>
      <c r="G1006" s="43">
        <v>24.588999999999999</v>
      </c>
      <c r="H1006" s="43">
        <v>0.14899999999999999</v>
      </c>
      <c r="I1006" s="12">
        <f t="shared" si="316"/>
        <v>24.738</v>
      </c>
      <c r="J1006" s="42">
        <v>21453.329000000002</v>
      </c>
      <c r="K1006" s="42"/>
      <c r="L1006" s="42">
        <f t="shared" si="317"/>
        <v>21453.329000000002</v>
      </c>
      <c r="M1006" s="42">
        <f t="shared" si="303"/>
        <v>867.22164281671928</v>
      </c>
      <c r="N1006" s="12" t="e">
        <f t="shared" si="318"/>
        <v>#REF!</v>
      </c>
      <c r="O1006" s="12" t="e">
        <f t="shared" si="319"/>
        <v>#REF!</v>
      </c>
      <c r="P1006" s="12" t="e">
        <f t="shared" si="320"/>
        <v>#REF!</v>
      </c>
    </row>
    <row r="1007" spans="1:16" ht="15.75" hidden="1" x14ac:dyDescent="0.25">
      <c r="A1007" s="14">
        <v>18</v>
      </c>
      <c r="B1007" s="14">
        <v>45</v>
      </c>
      <c r="C1007" s="8" t="s">
        <v>1744</v>
      </c>
      <c r="D1007" s="28" t="s">
        <v>557</v>
      </c>
      <c r="E1007" s="42" t="s">
        <v>881</v>
      </c>
      <c r="F1007" s="43"/>
      <c r="G1007" s="43">
        <v>16.206</v>
      </c>
      <c r="H1007" s="43">
        <v>0.219</v>
      </c>
      <c r="I1007" s="12">
        <f t="shared" si="316"/>
        <v>16.425000000000001</v>
      </c>
      <c r="J1007" s="42">
        <v>18373.398000000001</v>
      </c>
      <c r="K1007" s="42"/>
      <c r="L1007" s="42">
        <f t="shared" si="317"/>
        <v>18373.398000000001</v>
      </c>
      <c r="M1007" s="42">
        <f t="shared" si="303"/>
        <v>1118.6239269406392</v>
      </c>
      <c r="N1007" s="12" t="e">
        <f t="shared" si="318"/>
        <v>#REF!</v>
      </c>
      <c r="O1007" s="12" t="e">
        <f t="shared" si="319"/>
        <v>#REF!</v>
      </c>
      <c r="P1007" s="12" t="e">
        <f t="shared" si="320"/>
        <v>#REF!</v>
      </c>
    </row>
    <row r="1008" spans="1:16" ht="15.75" hidden="1" x14ac:dyDescent="0.25">
      <c r="A1008" s="14">
        <v>18</v>
      </c>
      <c r="B1008" s="14">
        <v>46</v>
      </c>
      <c r="C1008" s="8" t="s">
        <v>1744</v>
      </c>
      <c r="D1008" s="28" t="s">
        <v>558</v>
      </c>
      <c r="E1008" s="42" t="s">
        <v>882</v>
      </c>
      <c r="F1008" s="43"/>
      <c r="G1008" s="43">
        <v>3.919</v>
      </c>
      <c r="H1008" s="43">
        <v>0.01</v>
      </c>
      <c r="I1008" s="12">
        <f t="shared" si="316"/>
        <v>3.9289999999999998</v>
      </c>
      <c r="J1008" s="42">
        <v>7259.2709999999997</v>
      </c>
      <c r="K1008" s="42"/>
      <c r="L1008" s="42">
        <f t="shared" si="317"/>
        <v>7259.2709999999997</v>
      </c>
      <c r="M1008" s="42">
        <f t="shared" si="303"/>
        <v>1847.6128785950623</v>
      </c>
      <c r="N1008" s="12" t="e">
        <f t="shared" si="318"/>
        <v>#REF!</v>
      </c>
      <c r="O1008" s="12" t="e">
        <f t="shared" si="319"/>
        <v>#REF!</v>
      </c>
      <c r="P1008" s="12" t="e">
        <f t="shared" si="320"/>
        <v>#REF!</v>
      </c>
    </row>
    <row r="1009" spans="1:16" ht="15.75" hidden="1" x14ac:dyDescent="0.25">
      <c r="A1009" s="49">
        <v>18</v>
      </c>
      <c r="B1009" s="49">
        <v>47</v>
      </c>
      <c r="C1009" s="50" t="s">
        <v>1744</v>
      </c>
      <c r="D1009" s="51" t="s">
        <v>883</v>
      </c>
      <c r="E1009" s="52" t="s">
        <v>884</v>
      </c>
      <c r="F1009" s="53"/>
      <c r="G1009" s="53">
        <v>14.08</v>
      </c>
      <c r="H1009" s="53">
        <v>0.215</v>
      </c>
      <c r="I1009" s="12">
        <f t="shared" si="316"/>
        <v>14.295</v>
      </c>
      <c r="J1009" s="52">
        <v>19111.737000000001</v>
      </c>
      <c r="K1009" s="52"/>
      <c r="L1009" s="52">
        <f t="shared" si="317"/>
        <v>19111.737000000001</v>
      </c>
      <c r="M1009" s="52">
        <f t="shared" si="303"/>
        <v>1336.9525708289611</v>
      </c>
      <c r="N1009" s="12" t="e">
        <f t="shared" si="318"/>
        <v>#REF!</v>
      </c>
      <c r="O1009" s="12" t="e">
        <f t="shared" si="319"/>
        <v>#REF!</v>
      </c>
      <c r="P1009" s="12" t="e">
        <f t="shared" si="320"/>
        <v>#REF!</v>
      </c>
    </row>
    <row r="1010" spans="1:16" ht="15.75" hidden="1" x14ac:dyDescent="0.25">
      <c r="A1010" s="49">
        <v>18</v>
      </c>
      <c r="B1010" s="49">
        <v>48</v>
      </c>
      <c r="C1010" s="50" t="s">
        <v>1744</v>
      </c>
      <c r="D1010" s="51" t="s">
        <v>885</v>
      </c>
      <c r="E1010" s="52" t="s">
        <v>886</v>
      </c>
      <c r="F1010" s="53"/>
      <c r="G1010" s="53">
        <v>6.4770000000000003</v>
      </c>
      <c r="H1010" s="53">
        <v>4.3999999999999997E-2</v>
      </c>
      <c r="I1010" s="12">
        <f t="shared" si="316"/>
        <v>6.5209999999999999</v>
      </c>
      <c r="J1010" s="52">
        <v>10744.232</v>
      </c>
      <c r="K1010" s="52"/>
      <c r="L1010" s="52">
        <f t="shared" si="317"/>
        <v>10744.232</v>
      </c>
      <c r="M1010" s="52">
        <f t="shared" si="303"/>
        <v>1647.6356387057201</v>
      </c>
      <c r="N1010" s="12" t="e">
        <f t="shared" si="318"/>
        <v>#REF!</v>
      </c>
      <c r="O1010" s="12" t="e">
        <f t="shared" si="319"/>
        <v>#REF!</v>
      </c>
      <c r="P1010" s="12" t="e">
        <f t="shared" si="320"/>
        <v>#REF!</v>
      </c>
    </row>
    <row r="1011" spans="1:16" ht="15.75" hidden="1" x14ac:dyDescent="0.25">
      <c r="A1011" s="49">
        <v>18</v>
      </c>
      <c r="B1011" s="49">
        <v>49</v>
      </c>
      <c r="C1011" s="50" t="s">
        <v>1744</v>
      </c>
      <c r="D1011" s="51" t="s">
        <v>887</v>
      </c>
      <c r="E1011" s="52" t="s">
        <v>888</v>
      </c>
      <c r="F1011" s="53"/>
      <c r="G1011" s="53">
        <v>4.0469999999999997</v>
      </c>
      <c r="H1011" s="53">
        <v>3.5999999999999997E-2</v>
      </c>
      <c r="I1011" s="12">
        <f t="shared" si="316"/>
        <v>4.0829999999999993</v>
      </c>
      <c r="J1011" s="52">
        <v>3962.3009999999999</v>
      </c>
      <c r="K1011" s="52"/>
      <c r="L1011" s="52">
        <f t="shared" si="317"/>
        <v>3962.3009999999999</v>
      </c>
      <c r="M1011" s="52">
        <f t="shared" si="303"/>
        <v>970.43864805290241</v>
      </c>
      <c r="N1011" s="12" t="e">
        <f t="shared" si="318"/>
        <v>#REF!</v>
      </c>
      <c r="O1011" s="12" t="e">
        <f t="shared" si="319"/>
        <v>#REF!</v>
      </c>
      <c r="P1011" s="12" t="e">
        <f t="shared" si="320"/>
        <v>#REF!</v>
      </c>
    </row>
    <row r="1012" spans="1:16" ht="15.75" hidden="1" x14ac:dyDescent="0.25">
      <c r="A1012" s="49">
        <v>18</v>
      </c>
      <c r="B1012" s="49">
        <v>50</v>
      </c>
      <c r="C1012" s="50" t="s">
        <v>1744</v>
      </c>
      <c r="D1012" s="51" t="s">
        <v>889</v>
      </c>
      <c r="E1012" s="52" t="s">
        <v>890</v>
      </c>
      <c r="F1012" s="53"/>
      <c r="G1012" s="53">
        <v>3.258</v>
      </c>
      <c r="H1012" s="53">
        <v>1.9E-2</v>
      </c>
      <c r="I1012" s="12">
        <f t="shared" si="316"/>
        <v>3.2770000000000001</v>
      </c>
      <c r="J1012" s="52">
        <v>14745.547</v>
      </c>
      <c r="K1012" s="52"/>
      <c r="L1012" s="52">
        <f t="shared" si="317"/>
        <v>14745.547</v>
      </c>
      <c r="M1012" s="52">
        <f t="shared" si="303"/>
        <v>4499.7091852303938</v>
      </c>
      <c r="N1012" s="12" t="e">
        <f t="shared" si="318"/>
        <v>#REF!</v>
      </c>
      <c r="O1012" s="12" t="e">
        <f t="shared" si="319"/>
        <v>#REF!</v>
      </c>
      <c r="P1012" s="12" t="e">
        <f t="shared" si="320"/>
        <v>#REF!</v>
      </c>
    </row>
    <row r="1013" spans="1:16" ht="15.75" hidden="1" x14ac:dyDescent="0.25">
      <c r="A1013" s="49">
        <v>18</v>
      </c>
      <c r="B1013" s="49">
        <v>51</v>
      </c>
      <c r="C1013" s="50" t="s">
        <v>1744</v>
      </c>
      <c r="D1013" s="51" t="s">
        <v>891</v>
      </c>
      <c r="E1013" s="52" t="s">
        <v>892</v>
      </c>
      <c r="F1013" s="53"/>
      <c r="G1013" s="53">
        <v>10.441000000000001</v>
      </c>
      <c r="H1013" s="53">
        <v>0.115</v>
      </c>
      <c r="I1013" s="12">
        <f t="shared" si="316"/>
        <v>10.556000000000001</v>
      </c>
      <c r="J1013" s="52">
        <v>16679.616999999998</v>
      </c>
      <c r="K1013" s="52"/>
      <c r="L1013" s="52">
        <f t="shared" si="317"/>
        <v>16679.616999999998</v>
      </c>
      <c r="M1013" s="52">
        <f t="shared" si="303"/>
        <v>1580.1077112542628</v>
      </c>
      <c r="N1013" s="12" t="e">
        <f t="shared" si="318"/>
        <v>#REF!</v>
      </c>
      <c r="O1013" s="12" t="e">
        <f t="shared" si="319"/>
        <v>#REF!</v>
      </c>
      <c r="P1013" s="12" t="e">
        <f t="shared" si="320"/>
        <v>#REF!</v>
      </c>
    </row>
    <row r="1014" spans="1:16" ht="15.75" hidden="1" x14ac:dyDescent="0.25">
      <c r="A1014" s="49">
        <v>18</v>
      </c>
      <c r="B1014" s="49">
        <v>52</v>
      </c>
      <c r="C1014" s="50" t="s">
        <v>1744</v>
      </c>
      <c r="D1014" s="51" t="s">
        <v>893</v>
      </c>
      <c r="E1014" s="52" t="s">
        <v>894</v>
      </c>
      <c r="F1014" s="53"/>
      <c r="G1014" s="53">
        <v>3.79</v>
      </c>
      <c r="H1014" s="53">
        <v>0.03</v>
      </c>
      <c r="I1014" s="12">
        <f t="shared" si="316"/>
        <v>3.82</v>
      </c>
      <c r="J1014" s="52">
        <v>3680.33</v>
      </c>
      <c r="K1014" s="52"/>
      <c r="L1014" s="52">
        <f t="shared" si="317"/>
        <v>3680.33</v>
      </c>
      <c r="M1014" s="52">
        <f t="shared" si="303"/>
        <v>963.43717277486917</v>
      </c>
      <c r="N1014" s="12" t="e">
        <f t="shared" si="318"/>
        <v>#REF!</v>
      </c>
      <c r="O1014" s="12" t="e">
        <f t="shared" si="319"/>
        <v>#REF!</v>
      </c>
      <c r="P1014" s="12" t="e">
        <f t="shared" si="320"/>
        <v>#REF!</v>
      </c>
    </row>
    <row r="1015" spans="1:16" ht="15.75" hidden="1" x14ac:dyDescent="0.25">
      <c r="A1015" s="49">
        <v>18</v>
      </c>
      <c r="B1015" s="49">
        <v>53</v>
      </c>
      <c r="C1015" s="50" t="s">
        <v>1744</v>
      </c>
      <c r="D1015" s="51" t="s">
        <v>895</v>
      </c>
      <c r="E1015" s="52" t="s">
        <v>896</v>
      </c>
      <c r="F1015" s="53"/>
      <c r="G1015" s="53">
        <v>7.3680000000000003</v>
      </c>
      <c r="H1015" s="53">
        <v>2.5999999999999999E-2</v>
      </c>
      <c r="I1015" s="12">
        <f t="shared" si="316"/>
        <v>7.3940000000000001</v>
      </c>
      <c r="J1015" s="52">
        <v>10392.699000000001</v>
      </c>
      <c r="K1015" s="52"/>
      <c r="L1015" s="52">
        <f t="shared" si="317"/>
        <v>10392.699000000001</v>
      </c>
      <c r="M1015" s="52">
        <f t="shared" si="303"/>
        <v>1405.5584257506086</v>
      </c>
      <c r="N1015" s="12" t="e">
        <f t="shared" si="318"/>
        <v>#REF!</v>
      </c>
      <c r="O1015" s="12" t="e">
        <f t="shared" si="319"/>
        <v>#REF!</v>
      </c>
      <c r="P1015" s="12" t="e">
        <f t="shared" si="320"/>
        <v>#REF!</v>
      </c>
    </row>
    <row r="1016" spans="1:16" ht="15.75" hidden="1" x14ac:dyDescent="0.25">
      <c r="A1016" s="49">
        <v>18</v>
      </c>
      <c r="B1016" s="49">
        <v>54</v>
      </c>
      <c r="C1016" s="50" t="s">
        <v>1744</v>
      </c>
      <c r="D1016" s="51" t="s">
        <v>897</v>
      </c>
      <c r="E1016" s="52" t="s">
        <v>898</v>
      </c>
      <c r="F1016" s="53"/>
      <c r="G1016" s="53">
        <v>21.95</v>
      </c>
      <c r="H1016" s="53">
        <v>0.17799999999999999</v>
      </c>
      <c r="I1016" s="12">
        <f t="shared" si="316"/>
        <v>22.128</v>
      </c>
      <c r="J1016" s="52">
        <v>37756.815999999999</v>
      </c>
      <c r="K1016" s="52"/>
      <c r="L1016" s="52">
        <f t="shared" si="317"/>
        <v>37756.815999999999</v>
      </c>
      <c r="M1016" s="52">
        <f t="shared" si="303"/>
        <v>1706.291395516992</v>
      </c>
      <c r="N1016" s="12" t="e">
        <f t="shared" si="318"/>
        <v>#REF!</v>
      </c>
      <c r="O1016" s="12" t="e">
        <f t="shared" si="319"/>
        <v>#REF!</v>
      </c>
      <c r="P1016" s="12" t="e">
        <f t="shared" si="320"/>
        <v>#REF!</v>
      </c>
    </row>
    <row r="1017" spans="1:16" ht="31.5" hidden="1" x14ac:dyDescent="0.25">
      <c r="A1017" s="49">
        <v>18</v>
      </c>
      <c r="B1017" s="49">
        <v>55</v>
      </c>
      <c r="C1017" s="50" t="s">
        <v>1744</v>
      </c>
      <c r="D1017" s="51" t="s">
        <v>899</v>
      </c>
      <c r="E1017" s="52" t="s">
        <v>900</v>
      </c>
      <c r="F1017" s="53"/>
      <c r="G1017" s="53">
        <v>6.3840000000000003</v>
      </c>
      <c r="H1017" s="53">
        <v>5.1999999999999998E-2</v>
      </c>
      <c r="I1017" s="12">
        <f t="shared" si="316"/>
        <v>6.4359999999999999</v>
      </c>
      <c r="J1017" s="52">
        <f>1962.952+1624.909</f>
        <v>3587.8609999999999</v>
      </c>
      <c r="K1017" s="52"/>
      <c r="L1017" s="52">
        <f t="shared" si="317"/>
        <v>3587.8609999999999</v>
      </c>
      <c r="M1017" s="52">
        <f t="shared" si="303"/>
        <v>557.46752641392163</v>
      </c>
      <c r="N1017" s="12" t="e">
        <f t="shared" si="318"/>
        <v>#REF!</v>
      </c>
      <c r="O1017" s="12" t="e">
        <f t="shared" si="319"/>
        <v>#REF!</v>
      </c>
      <c r="P1017" s="12" t="e">
        <f t="shared" si="320"/>
        <v>#REF!</v>
      </c>
    </row>
    <row r="1018" spans="1:16" ht="18.75" hidden="1" x14ac:dyDescent="0.3">
      <c r="A1018" s="49">
        <v>18</v>
      </c>
      <c r="B1018" s="49">
        <v>56</v>
      </c>
      <c r="C1018" s="12" t="s">
        <v>1744</v>
      </c>
      <c r="D1018" s="61" t="s">
        <v>3</v>
      </c>
      <c r="E1018" s="63" t="s">
        <v>4</v>
      </c>
      <c r="F1018" s="53"/>
      <c r="G1018" s="53">
        <v>3.9990000000000001</v>
      </c>
      <c r="H1018" s="53">
        <v>2.1999999999999999E-2</v>
      </c>
      <c r="I1018" s="12">
        <f t="shared" si="316"/>
        <v>4.0209999999999999</v>
      </c>
      <c r="J1018" s="52">
        <v>2401.7370000000001</v>
      </c>
      <c r="K1018" s="52"/>
      <c r="L1018" s="52">
        <f>J1018+K1018</f>
        <v>2401.7370000000001</v>
      </c>
      <c r="M1018" s="52">
        <f>L1018/I1018</f>
        <v>597.29843322556576</v>
      </c>
      <c r="N1018" s="12" t="e">
        <f t="shared" si="318"/>
        <v>#REF!</v>
      </c>
      <c r="O1018" s="12" t="e">
        <f t="shared" si="319"/>
        <v>#REF!</v>
      </c>
      <c r="P1018" s="12" t="e">
        <f t="shared" si="320"/>
        <v>#REF!</v>
      </c>
    </row>
    <row r="1019" spans="1:16" s="75" customFormat="1" ht="15.75" hidden="1" x14ac:dyDescent="0.25">
      <c r="A1019" s="72">
        <v>19</v>
      </c>
      <c r="B1019" s="72" t="s">
        <v>1126</v>
      </c>
      <c r="C1019" s="73" t="s">
        <v>1161</v>
      </c>
      <c r="D1019" s="74"/>
      <c r="E1019" s="71" t="s">
        <v>1591</v>
      </c>
      <c r="F1019" s="76"/>
      <c r="G1019" s="71">
        <f t="shared" ref="G1019:L1019" si="321">G1020+G1021+G1026+G1044</f>
        <v>1059.192</v>
      </c>
      <c r="H1019" s="71">
        <f t="shared" si="321"/>
        <v>2.5110000000000001</v>
      </c>
      <c r="I1019" s="71">
        <f t="shared" si="321"/>
        <v>1061.703</v>
      </c>
      <c r="J1019" s="71">
        <f t="shared" si="321"/>
        <v>1021365.946</v>
      </c>
      <c r="K1019" s="71">
        <f t="shared" si="321"/>
        <v>0</v>
      </c>
      <c r="L1019" s="71">
        <f t="shared" si="321"/>
        <v>1021365.946</v>
      </c>
      <c r="M1019" s="71">
        <f>L1019/I1019</f>
        <v>962.00721482373137</v>
      </c>
      <c r="N1019" s="71" t="e">
        <f>M1019/$M$1429</f>
        <v>#REF!</v>
      </c>
      <c r="O1019" s="71" t="e">
        <f>O1020+O1021+O1026+O1044</f>
        <v>#REF!</v>
      </c>
      <c r="P1019" s="71" t="e">
        <f>P1020+P1021+P1026+P1044</f>
        <v>#REF!</v>
      </c>
    </row>
    <row r="1020" spans="1:16" ht="15.75" hidden="1" x14ac:dyDescent="0.25">
      <c r="A1020" s="14">
        <v>19</v>
      </c>
      <c r="B1020" s="14" t="s">
        <v>1126</v>
      </c>
      <c r="C1020" s="8" t="s">
        <v>1159</v>
      </c>
      <c r="D1020" s="28" t="s">
        <v>2399</v>
      </c>
      <c r="E1020" s="12" t="s">
        <v>1160</v>
      </c>
      <c r="F1020" s="1"/>
      <c r="G1020" s="1">
        <v>0</v>
      </c>
      <c r="H1020" s="1">
        <v>0</v>
      </c>
      <c r="I1020" s="12">
        <f>H1020+G1020</f>
        <v>0</v>
      </c>
      <c r="J1020" s="12"/>
      <c r="K1020" s="12"/>
      <c r="L1020" s="12"/>
      <c r="M1020" s="12"/>
      <c r="N1020" s="12"/>
      <c r="O1020" s="12"/>
      <c r="P1020" s="12"/>
    </row>
    <row r="1021" spans="1:16" ht="15.75" hidden="1" x14ac:dyDescent="0.25">
      <c r="A1021" s="15">
        <v>19</v>
      </c>
      <c r="B1021" s="15" t="s">
        <v>1126</v>
      </c>
      <c r="C1021" s="10" t="s">
        <v>1127</v>
      </c>
      <c r="D1021" s="29"/>
      <c r="E1021" s="37" t="s">
        <v>1128</v>
      </c>
      <c r="F1021" s="6"/>
      <c r="G1021" s="37">
        <f t="shared" ref="G1021:L1021" si="322">SUM(G1022:G1025)</f>
        <v>288.113</v>
      </c>
      <c r="H1021" s="37">
        <f>SUM(H1022:H1025)</f>
        <v>1.4449999999999998</v>
      </c>
      <c r="I1021" s="37">
        <f t="shared" si="322"/>
        <v>289.55799999999999</v>
      </c>
      <c r="J1021" s="37">
        <f t="shared" si="322"/>
        <v>493063.90899999999</v>
      </c>
      <c r="K1021" s="37">
        <f t="shared" si="322"/>
        <v>0</v>
      </c>
      <c r="L1021" s="37">
        <f t="shared" si="322"/>
        <v>493063.90899999999</v>
      </c>
      <c r="M1021" s="37">
        <f t="shared" ref="M1021:M1084" si="323">L1021/I1021</f>
        <v>1702.8157018628392</v>
      </c>
      <c r="N1021" s="37" t="e">
        <f>M1021/$M$1429</f>
        <v>#REF!</v>
      </c>
      <c r="O1021" s="37" t="e">
        <f>SUM(O1022:O1025)</f>
        <v>#REF!</v>
      </c>
      <c r="P1021" s="37" t="e">
        <f>SUM(P1022:P1025)</f>
        <v>#REF!</v>
      </c>
    </row>
    <row r="1022" spans="1:16" ht="15.75" hidden="1" x14ac:dyDescent="0.25">
      <c r="A1022" s="14">
        <v>19</v>
      </c>
      <c r="B1022" s="14" t="s">
        <v>1811</v>
      </c>
      <c r="C1022" s="8" t="s">
        <v>1119</v>
      </c>
      <c r="D1022" s="28" t="s">
        <v>2400</v>
      </c>
      <c r="E1022" s="12" t="s">
        <v>1572</v>
      </c>
      <c r="F1022" s="1"/>
      <c r="G1022" s="1">
        <v>217.86600000000001</v>
      </c>
      <c r="H1022" s="1">
        <v>1.337</v>
      </c>
      <c r="I1022" s="12">
        <f>H1022+G1022</f>
        <v>219.203</v>
      </c>
      <c r="J1022" s="12">
        <v>423427.43699999998</v>
      </c>
      <c r="K1022" s="12"/>
      <c r="L1022" s="12">
        <f>J1022+K1022</f>
        <v>423427.43699999998</v>
      </c>
      <c r="M1022" s="12">
        <f t="shared" si="323"/>
        <v>1931.6680747982462</v>
      </c>
      <c r="N1022" s="12" t="e">
        <f>M1022/$M$1431</f>
        <v>#REF!</v>
      </c>
      <c r="O1022" s="12" t="e">
        <f>ROUND(IF(N1022&lt;110%,0,(M1022-$M$1431*1.1)*0.8)*I1022,1)</f>
        <v>#REF!</v>
      </c>
      <c r="P1022" s="12" t="e">
        <f>ROUND(IF(N1022&gt;90%,0,(-M1022+$M$1431*0.9)*0.8)*I1022,1)</f>
        <v>#REF!</v>
      </c>
    </row>
    <row r="1023" spans="1:16" ht="15.75" hidden="1" x14ac:dyDescent="0.25">
      <c r="A1023" s="14">
        <v>19</v>
      </c>
      <c r="B1023" s="14" t="s">
        <v>1810</v>
      </c>
      <c r="C1023" s="8" t="s">
        <v>1119</v>
      </c>
      <c r="D1023" s="28" t="s">
        <v>2401</v>
      </c>
      <c r="E1023" s="12" t="s">
        <v>1573</v>
      </c>
      <c r="F1023" s="1"/>
      <c r="G1023" s="1">
        <v>29.169</v>
      </c>
      <c r="H1023" s="1">
        <v>4.4999999999999998E-2</v>
      </c>
      <c r="I1023" s="12">
        <f>H1023+G1023</f>
        <v>29.214000000000002</v>
      </c>
      <c r="J1023" s="12">
        <v>28793.559000000001</v>
      </c>
      <c r="K1023" s="12"/>
      <c r="L1023" s="12">
        <f>J1023+K1023</f>
        <v>28793.559000000001</v>
      </c>
      <c r="M1023" s="12">
        <f t="shared" si="323"/>
        <v>985.60823577736699</v>
      </c>
      <c r="N1023" s="12" t="e">
        <f>M1023/$M$1431</f>
        <v>#REF!</v>
      </c>
      <c r="O1023" s="12" t="e">
        <f>ROUND(IF(N1023&lt;110%,0,(M1023-$M$1431*1.1)*0.8)*I1023,1)</f>
        <v>#REF!</v>
      </c>
      <c r="P1023" s="12" t="e">
        <f>ROUND(IF(N1023&gt;90%,0,(-M1023+$M$1431*0.9)*0.8)*I1023,1)</f>
        <v>#REF!</v>
      </c>
    </row>
    <row r="1024" spans="1:16" ht="15.75" hidden="1" x14ac:dyDescent="0.25">
      <c r="A1024" s="14">
        <v>19</v>
      </c>
      <c r="B1024" s="14" t="s">
        <v>1850</v>
      </c>
      <c r="C1024" s="8" t="s">
        <v>1119</v>
      </c>
      <c r="D1024" s="28" t="s">
        <v>2402</v>
      </c>
      <c r="E1024" s="12" t="s">
        <v>1739</v>
      </c>
      <c r="F1024" s="1"/>
      <c r="G1024" s="1">
        <v>19.690000000000001</v>
      </c>
      <c r="H1024" s="1">
        <v>2.7E-2</v>
      </c>
      <c r="I1024" s="12">
        <f>H1024+G1024</f>
        <v>19.717000000000002</v>
      </c>
      <c r="J1024" s="12">
        <v>20354.600999999999</v>
      </c>
      <c r="K1024" s="12"/>
      <c r="L1024" s="12">
        <f>J1024+K1024</f>
        <v>20354.600999999999</v>
      </c>
      <c r="M1024" s="12">
        <f t="shared" si="323"/>
        <v>1032.3376274281075</v>
      </c>
      <c r="N1024" s="12" t="e">
        <f>M1024/$M$1431</f>
        <v>#REF!</v>
      </c>
      <c r="O1024" s="12" t="e">
        <f>ROUND(IF(N1024&lt;110%,0,(M1024-$M$1431*1.1)*0.8)*I1024,1)</f>
        <v>#REF!</v>
      </c>
      <c r="P1024" s="12" t="e">
        <f>ROUND(IF(N1024&gt;90%,0,(-M1024+$M$1431*0.9)*0.8)*I1024,1)</f>
        <v>#REF!</v>
      </c>
    </row>
    <row r="1025" spans="1:16" ht="15.75" hidden="1" x14ac:dyDescent="0.25">
      <c r="A1025" s="14">
        <v>19</v>
      </c>
      <c r="B1025" s="14" t="s">
        <v>1855</v>
      </c>
      <c r="C1025" s="8" t="s">
        <v>1119</v>
      </c>
      <c r="D1025" s="28" t="s">
        <v>2403</v>
      </c>
      <c r="E1025" s="12" t="s">
        <v>1740</v>
      </c>
      <c r="F1025" s="1"/>
      <c r="G1025" s="1">
        <v>21.388000000000002</v>
      </c>
      <c r="H1025" s="1">
        <v>3.5999999999999997E-2</v>
      </c>
      <c r="I1025" s="12">
        <f>H1025+G1025</f>
        <v>21.424000000000003</v>
      </c>
      <c r="J1025" s="12">
        <v>20488.312000000002</v>
      </c>
      <c r="K1025" s="12"/>
      <c r="L1025" s="12">
        <f>J1025+K1025</f>
        <v>20488.312000000002</v>
      </c>
      <c r="M1025" s="12">
        <f t="shared" si="323"/>
        <v>956.32524271844659</v>
      </c>
      <c r="N1025" s="12" t="e">
        <f>M1025/$M$1431</f>
        <v>#REF!</v>
      </c>
      <c r="O1025" s="12" t="e">
        <f>ROUND(IF(N1025&lt;110%,0,(M1025-$M$1431*1.1)*0.8)*I1025,1)</f>
        <v>#REF!</v>
      </c>
      <c r="P1025" s="12" t="e">
        <f>ROUND(IF(N1025&gt;90%,0,(-M1025+$M$1431*0.9)*0.8)*I1025,1)</f>
        <v>#REF!</v>
      </c>
    </row>
    <row r="1026" spans="1:16" ht="15.75" hidden="1" x14ac:dyDescent="0.25">
      <c r="A1026" s="15">
        <v>19</v>
      </c>
      <c r="B1026" s="15" t="s">
        <v>1126</v>
      </c>
      <c r="C1026" s="10" t="s">
        <v>1157</v>
      </c>
      <c r="D1026" s="29"/>
      <c r="E1026" s="37" t="s">
        <v>1158</v>
      </c>
      <c r="F1026" s="6"/>
      <c r="G1026" s="37">
        <f t="shared" ref="G1026:L1026" si="324">SUM(G1027:G1043)</f>
        <v>441.66199999999998</v>
      </c>
      <c r="H1026" s="37">
        <f>SUM(H1027:H1043)</f>
        <v>0.628</v>
      </c>
      <c r="I1026" s="37">
        <f t="shared" si="324"/>
        <v>442.28999999999996</v>
      </c>
      <c r="J1026" s="37">
        <f t="shared" si="324"/>
        <v>267471.18900000007</v>
      </c>
      <c r="K1026" s="37">
        <f t="shared" si="324"/>
        <v>0</v>
      </c>
      <c r="L1026" s="37">
        <f t="shared" si="324"/>
        <v>267471.18900000007</v>
      </c>
      <c r="M1026" s="37">
        <f t="shared" si="323"/>
        <v>604.74166044902688</v>
      </c>
      <c r="N1026" s="37" t="e">
        <f>M1026/$M$1429</f>
        <v>#REF!</v>
      </c>
      <c r="O1026" s="37" t="e">
        <f>SUM(O1027:O1043)</f>
        <v>#REF!</v>
      </c>
      <c r="P1026" s="37" t="e">
        <f>SUM(P1027:P1043)</f>
        <v>#REF!</v>
      </c>
    </row>
    <row r="1027" spans="1:16" ht="15.75" hidden="1" x14ac:dyDescent="0.25">
      <c r="A1027" s="14">
        <v>19</v>
      </c>
      <c r="B1027" s="14" t="s">
        <v>1818</v>
      </c>
      <c r="C1027" s="8" t="s">
        <v>1129</v>
      </c>
      <c r="D1027" s="28" t="s">
        <v>2404</v>
      </c>
      <c r="E1027" s="12" t="s">
        <v>1574</v>
      </c>
      <c r="F1027" s="1"/>
      <c r="G1027" s="1">
        <v>18.620999999999999</v>
      </c>
      <c r="H1027" s="1">
        <v>2.1000000000000001E-2</v>
      </c>
      <c r="I1027" s="12">
        <f t="shared" ref="I1027:I1043" si="325">H1027+G1027</f>
        <v>18.641999999999999</v>
      </c>
      <c r="J1027" s="12">
        <f>9894.629-1369.3</f>
        <v>8525.3290000000015</v>
      </c>
      <c r="K1027" s="12"/>
      <c r="L1027" s="12">
        <f t="shared" ref="L1027:L1043" si="326">J1027+K1027</f>
        <v>8525.3290000000015</v>
      </c>
      <c r="M1027" s="12">
        <f t="shared" si="323"/>
        <v>457.31836712799065</v>
      </c>
      <c r="N1027" s="12" t="e">
        <f t="shared" ref="N1027:N1043" si="327">M1027/$M$1432</f>
        <v>#REF!</v>
      </c>
      <c r="O1027" s="12" t="e">
        <f t="shared" ref="O1027:O1043" si="328">ROUND(IF(N1027&lt;110%,0,(M1027-$M$1432*1.1)*0.8)*I1027,1)</f>
        <v>#REF!</v>
      </c>
      <c r="P1027" s="12" t="e">
        <f t="shared" ref="P1027:P1043" si="329">ROUND(IF(N1027&gt;90%,0,(-M1027+$M$1432*0.9)*0.8)*I1027,1)</f>
        <v>#REF!</v>
      </c>
    </row>
    <row r="1028" spans="1:16" ht="15.75" hidden="1" x14ac:dyDescent="0.25">
      <c r="A1028" s="14">
        <v>19</v>
      </c>
      <c r="B1028" s="14" t="s">
        <v>1820</v>
      </c>
      <c r="C1028" s="8" t="s">
        <v>1129</v>
      </c>
      <c r="D1028" s="28" t="s">
        <v>2405</v>
      </c>
      <c r="E1028" s="12" t="s">
        <v>1575</v>
      </c>
      <c r="F1028" s="1"/>
      <c r="G1028" s="1">
        <v>17.081</v>
      </c>
      <c r="H1028" s="1">
        <v>1.7999999999999999E-2</v>
      </c>
      <c r="I1028" s="12">
        <f t="shared" si="325"/>
        <v>17.099</v>
      </c>
      <c r="J1028" s="12">
        <v>6437.5069999999996</v>
      </c>
      <c r="K1028" s="12"/>
      <c r="L1028" s="12">
        <f t="shared" si="326"/>
        <v>6437.5069999999996</v>
      </c>
      <c r="M1028" s="12">
        <f t="shared" si="323"/>
        <v>376.4844142932335</v>
      </c>
      <c r="N1028" s="12" t="e">
        <f t="shared" si="327"/>
        <v>#REF!</v>
      </c>
      <c r="O1028" s="12" t="e">
        <f t="shared" si="328"/>
        <v>#REF!</v>
      </c>
      <c r="P1028" s="12" t="e">
        <f t="shared" si="329"/>
        <v>#REF!</v>
      </c>
    </row>
    <row r="1029" spans="1:16" ht="15.75" hidden="1" x14ac:dyDescent="0.25">
      <c r="A1029" s="14">
        <v>19</v>
      </c>
      <c r="B1029" s="14" t="s">
        <v>1822</v>
      </c>
      <c r="C1029" s="8" t="s">
        <v>1129</v>
      </c>
      <c r="D1029" s="28" t="s">
        <v>2406</v>
      </c>
      <c r="E1029" s="12" t="s">
        <v>1576</v>
      </c>
      <c r="F1029" s="1"/>
      <c r="G1029" s="1">
        <v>47.343000000000004</v>
      </c>
      <c r="H1029" s="1">
        <v>4.1000000000000002E-2</v>
      </c>
      <c r="I1029" s="12">
        <f t="shared" si="325"/>
        <v>47.384</v>
      </c>
      <c r="J1029" s="12">
        <v>27238.085999999999</v>
      </c>
      <c r="K1029" s="12"/>
      <c r="L1029" s="12">
        <f t="shared" si="326"/>
        <v>27238.085999999999</v>
      </c>
      <c r="M1029" s="12">
        <f t="shared" si="323"/>
        <v>574.83720243120035</v>
      </c>
      <c r="N1029" s="12" t="e">
        <f t="shared" si="327"/>
        <v>#REF!</v>
      </c>
      <c r="O1029" s="12" t="e">
        <f t="shared" si="328"/>
        <v>#REF!</v>
      </c>
      <c r="P1029" s="12" t="e">
        <f t="shared" si="329"/>
        <v>#REF!</v>
      </c>
    </row>
    <row r="1030" spans="1:16" ht="15.75" hidden="1" x14ac:dyDescent="0.25">
      <c r="A1030" s="14">
        <v>19</v>
      </c>
      <c r="B1030" s="14" t="s">
        <v>1824</v>
      </c>
      <c r="C1030" s="8" t="s">
        <v>1129</v>
      </c>
      <c r="D1030" s="28" t="s">
        <v>2407</v>
      </c>
      <c r="E1030" s="12" t="s">
        <v>1577</v>
      </c>
      <c r="F1030" s="1"/>
      <c r="G1030" s="1">
        <v>27.494</v>
      </c>
      <c r="H1030" s="1">
        <v>0.04</v>
      </c>
      <c r="I1030" s="12">
        <f t="shared" si="325"/>
        <v>27.533999999999999</v>
      </c>
      <c r="J1030" s="12">
        <f>24212.071-6966.2</f>
        <v>17245.870999999999</v>
      </c>
      <c r="K1030" s="12"/>
      <c r="L1030" s="12">
        <f t="shared" si="326"/>
        <v>17245.870999999999</v>
      </c>
      <c r="M1030" s="12">
        <f t="shared" si="323"/>
        <v>626.34818769521314</v>
      </c>
      <c r="N1030" s="12" t="e">
        <f t="shared" si="327"/>
        <v>#REF!</v>
      </c>
      <c r="O1030" s="12" t="e">
        <f t="shared" si="328"/>
        <v>#REF!</v>
      </c>
      <c r="P1030" s="12" t="e">
        <f t="shared" si="329"/>
        <v>#REF!</v>
      </c>
    </row>
    <row r="1031" spans="1:16" ht="15.75" hidden="1" x14ac:dyDescent="0.25">
      <c r="A1031" s="14">
        <v>19</v>
      </c>
      <c r="B1031" s="14" t="s">
        <v>1826</v>
      </c>
      <c r="C1031" s="8" t="s">
        <v>1129</v>
      </c>
      <c r="D1031" s="28" t="s">
        <v>2408</v>
      </c>
      <c r="E1031" s="12" t="s">
        <v>1578</v>
      </c>
      <c r="F1031" s="1"/>
      <c r="G1031" s="1">
        <v>46.639000000000003</v>
      </c>
      <c r="H1031" s="1">
        <v>7.4999999999999997E-2</v>
      </c>
      <c r="I1031" s="12">
        <f t="shared" si="325"/>
        <v>46.714000000000006</v>
      </c>
      <c r="J1031" s="12">
        <v>25520.248</v>
      </c>
      <c r="K1031" s="12"/>
      <c r="L1031" s="12">
        <f t="shared" si="326"/>
        <v>25520.248</v>
      </c>
      <c r="M1031" s="12">
        <f t="shared" si="323"/>
        <v>546.30834439354362</v>
      </c>
      <c r="N1031" s="12" t="e">
        <f t="shared" si="327"/>
        <v>#REF!</v>
      </c>
      <c r="O1031" s="12" t="e">
        <f t="shared" si="328"/>
        <v>#REF!</v>
      </c>
      <c r="P1031" s="12" t="e">
        <f t="shared" si="329"/>
        <v>#REF!</v>
      </c>
    </row>
    <row r="1032" spans="1:16" ht="15.75" hidden="1" x14ac:dyDescent="0.25">
      <c r="A1032" s="14">
        <v>19</v>
      </c>
      <c r="B1032" s="14">
        <v>10</v>
      </c>
      <c r="C1032" s="8" t="s">
        <v>1129</v>
      </c>
      <c r="D1032" s="28" t="s">
        <v>2409</v>
      </c>
      <c r="E1032" s="12" t="s">
        <v>1579</v>
      </c>
      <c r="F1032" s="1"/>
      <c r="G1032" s="1">
        <v>44.417000000000002</v>
      </c>
      <c r="H1032" s="1">
        <v>2.1999999999999999E-2</v>
      </c>
      <c r="I1032" s="12">
        <f t="shared" si="325"/>
        <v>44.439</v>
      </c>
      <c r="J1032" s="12">
        <v>28484.3</v>
      </c>
      <c r="K1032" s="12"/>
      <c r="L1032" s="12">
        <f t="shared" si="326"/>
        <v>28484.3</v>
      </c>
      <c r="M1032" s="12">
        <f t="shared" si="323"/>
        <v>640.97526947051017</v>
      </c>
      <c r="N1032" s="12" t="e">
        <f t="shared" si="327"/>
        <v>#REF!</v>
      </c>
      <c r="O1032" s="12" t="e">
        <f t="shared" si="328"/>
        <v>#REF!</v>
      </c>
      <c r="P1032" s="12" t="e">
        <f t="shared" si="329"/>
        <v>#REF!</v>
      </c>
    </row>
    <row r="1033" spans="1:16" ht="15.75" hidden="1" x14ac:dyDescent="0.25">
      <c r="A1033" s="14">
        <v>19</v>
      </c>
      <c r="B1033" s="14">
        <v>11</v>
      </c>
      <c r="C1033" s="8" t="s">
        <v>1129</v>
      </c>
      <c r="D1033" s="28" t="s">
        <v>2410</v>
      </c>
      <c r="E1033" s="12" t="s">
        <v>1580</v>
      </c>
      <c r="F1033" s="1"/>
      <c r="G1033" s="1">
        <v>13.8</v>
      </c>
      <c r="H1033" s="1">
        <v>1.2999999999999999E-2</v>
      </c>
      <c r="I1033" s="12">
        <f t="shared" si="325"/>
        <v>13.813000000000001</v>
      </c>
      <c r="J1033" s="12">
        <f>21716.309-13171.3</f>
        <v>8545.0090000000018</v>
      </c>
      <c r="K1033" s="12"/>
      <c r="L1033" s="12">
        <f t="shared" si="326"/>
        <v>8545.0090000000018</v>
      </c>
      <c r="M1033" s="12">
        <f t="shared" si="323"/>
        <v>618.62079200752919</v>
      </c>
      <c r="N1033" s="12" t="e">
        <f t="shared" si="327"/>
        <v>#REF!</v>
      </c>
      <c r="O1033" s="12" t="e">
        <f t="shared" si="328"/>
        <v>#REF!</v>
      </c>
      <c r="P1033" s="12" t="e">
        <f t="shared" si="329"/>
        <v>#REF!</v>
      </c>
    </row>
    <row r="1034" spans="1:16" ht="15.75" hidden="1" x14ac:dyDescent="0.25">
      <c r="A1034" s="14">
        <v>19</v>
      </c>
      <c r="B1034" s="14">
        <v>12</v>
      </c>
      <c r="C1034" s="8" t="s">
        <v>1129</v>
      </c>
      <c r="D1034" s="28" t="s">
        <v>2411</v>
      </c>
      <c r="E1034" s="12" t="s">
        <v>1581</v>
      </c>
      <c r="F1034" s="1"/>
      <c r="G1034" s="1">
        <v>32.04</v>
      </c>
      <c r="H1034" s="1">
        <v>2.9000000000000001E-2</v>
      </c>
      <c r="I1034" s="12">
        <f t="shared" si="325"/>
        <v>32.069000000000003</v>
      </c>
      <c r="J1034" s="12">
        <f>19737.537-588</f>
        <v>19149.537</v>
      </c>
      <c r="K1034" s="12"/>
      <c r="L1034" s="12">
        <f t="shared" si="326"/>
        <v>19149.537</v>
      </c>
      <c r="M1034" s="12">
        <f t="shared" si="323"/>
        <v>597.13545791886236</v>
      </c>
      <c r="N1034" s="12" t="e">
        <f t="shared" si="327"/>
        <v>#REF!</v>
      </c>
      <c r="O1034" s="12" t="e">
        <f t="shared" si="328"/>
        <v>#REF!</v>
      </c>
      <c r="P1034" s="12" t="e">
        <f t="shared" si="329"/>
        <v>#REF!</v>
      </c>
    </row>
    <row r="1035" spans="1:16" ht="15.75" hidden="1" x14ac:dyDescent="0.25">
      <c r="A1035" s="14">
        <v>19</v>
      </c>
      <c r="B1035" s="14">
        <v>13</v>
      </c>
      <c r="C1035" s="8" t="s">
        <v>1129</v>
      </c>
      <c r="D1035" s="28" t="s">
        <v>2412</v>
      </c>
      <c r="E1035" s="12" t="s">
        <v>1582</v>
      </c>
      <c r="F1035" s="1"/>
      <c r="G1035" s="1">
        <v>35.180999999999997</v>
      </c>
      <c r="H1035" s="1">
        <v>3.6999999999999998E-2</v>
      </c>
      <c r="I1035" s="12">
        <f t="shared" si="325"/>
        <v>35.217999999999996</v>
      </c>
      <c r="J1035" s="12">
        <v>18564.202000000001</v>
      </c>
      <c r="K1035" s="12"/>
      <c r="L1035" s="12">
        <f t="shared" si="326"/>
        <v>18564.202000000001</v>
      </c>
      <c r="M1035" s="12">
        <f t="shared" si="323"/>
        <v>527.12255096825493</v>
      </c>
      <c r="N1035" s="12" t="e">
        <f t="shared" si="327"/>
        <v>#REF!</v>
      </c>
      <c r="O1035" s="12" t="e">
        <f t="shared" si="328"/>
        <v>#REF!</v>
      </c>
      <c r="P1035" s="12" t="e">
        <f t="shared" si="329"/>
        <v>#REF!</v>
      </c>
    </row>
    <row r="1036" spans="1:16" ht="15.75" hidden="1" x14ac:dyDescent="0.25">
      <c r="A1036" s="14">
        <v>19</v>
      </c>
      <c r="B1036" s="14">
        <v>14</v>
      </c>
      <c r="C1036" s="8" t="s">
        <v>1129</v>
      </c>
      <c r="D1036" s="28" t="s">
        <v>2413</v>
      </c>
      <c r="E1036" s="12" t="s">
        <v>1583</v>
      </c>
      <c r="F1036" s="1"/>
      <c r="G1036" s="1">
        <v>12.452999999999999</v>
      </c>
      <c r="H1036" s="1">
        <v>2.8000000000000001E-2</v>
      </c>
      <c r="I1036" s="12">
        <f t="shared" si="325"/>
        <v>12.481</v>
      </c>
      <c r="J1036" s="12">
        <f>18717.146-9709.9</f>
        <v>9007.246000000001</v>
      </c>
      <c r="K1036" s="12"/>
      <c r="L1036" s="12">
        <f t="shared" si="326"/>
        <v>9007.246000000001</v>
      </c>
      <c r="M1036" s="12">
        <f t="shared" si="323"/>
        <v>721.67662847528254</v>
      </c>
      <c r="N1036" s="12" t="e">
        <f t="shared" si="327"/>
        <v>#REF!</v>
      </c>
      <c r="O1036" s="12" t="e">
        <f t="shared" si="328"/>
        <v>#REF!</v>
      </c>
      <c r="P1036" s="12" t="e">
        <f t="shared" si="329"/>
        <v>#REF!</v>
      </c>
    </row>
    <row r="1037" spans="1:16" ht="15.75" hidden="1" x14ac:dyDescent="0.25">
      <c r="A1037" s="14">
        <v>19</v>
      </c>
      <c r="B1037" s="14">
        <v>15</v>
      </c>
      <c r="C1037" s="8" t="s">
        <v>1129</v>
      </c>
      <c r="D1037" s="28" t="s">
        <v>2414</v>
      </c>
      <c r="E1037" s="12" t="s">
        <v>1584</v>
      </c>
      <c r="F1037" s="1"/>
      <c r="G1037" s="1">
        <v>23.100999999999999</v>
      </c>
      <c r="H1037" s="1">
        <v>0.02</v>
      </c>
      <c r="I1037" s="12">
        <f t="shared" si="325"/>
        <v>23.120999999999999</v>
      </c>
      <c r="J1037" s="12">
        <v>13769.847</v>
      </c>
      <c r="K1037" s="12"/>
      <c r="L1037" s="12">
        <f t="shared" si="326"/>
        <v>13769.847</v>
      </c>
      <c r="M1037" s="12">
        <f t="shared" si="323"/>
        <v>595.55585831062672</v>
      </c>
      <c r="N1037" s="12" t="e">
        <f t="shared" si="327"/>
        <v>#REF!</v>
      </c>
      <c r="O1037" s="12" t="e">
        <f t="shared" si="328"/>
        <v>#REF!</v>
      </c>
      <c r="P1037" s="12" t="e">
        <f t="shared" si="329"/>
        <v>#REF!</v>
      </c>
    </row>
    <row r="1038" spans="1:16" ht="15.75" hidden="1" x14ac:dyDescent="0.25">
      <c r="A1038" s="14">
        <v>19</v>
      </c>
      <c r="B1038" s="14">
        <v>16</v>
      </c>
      <c r="C1038" s="8" t="s">
        <v>1129</v>
      </c>
      <c r="D1038" s="28" t="s">
        <v>2415</v>
      </c>
      <c r="E1038" s="12" t="s">
        <v>1585</v>
      </c>
      <c r="F1038" s="1"/>
      <c r="G1038" s="1">
        <v>0.95399999999999996</v>
      </c>
      <c r="H1038" s="1">
        <v>0</v>
      </c>
      <c r="I1038" s="12">
        <f t="shared" si="325"/>
        <v>0.95399999999999996</v>
      </c>
      <c r="J1038" s="12">
        <v>842.48500000000001</v>
      </c>
      <c r="K1038" s="12"/>
      <c r="L1038" s="12">
        <f t="shared" si="326"/>
        <v>842.48500000000001</v>
      </c>
      <c r="M1038" s="12">
        <f t="shared" si="323"/>
        <v>883.10796645702317</v>
      </c>
      <c r="N1038" s="12" t="e">
        <f t="shared" si="327"/>
        <v>#REF!</v>
      </c>
      <c r="O1038" s="12" t="e">
        <f t="shared" si="328"/>
        <v>#REF!</v>
      </c>
      <c r="P1038" s="12" t="e">
        <f t="shared" si="329"/>
        <v>#REF!</v>
      </c>
    </row>
    <row r="1039" spans="1:16" ht="15.75" hidden="1" x14ac:dyDescent="0.25">
      <c r="A1039" s="14">
        <v>19</v>
      </c>
      <c r="B1039" s="14">
        <v>17</v>
      </c>
      <c r="C1039" s="8" t="s">
        <v>1129</v>
      </c>
      <c r="D1039" s="28" t="s">
        <v>2416</v>
      </c>
      <c r="E1039" s="12" t="s">
        <v>1586</v>
      </c>
      <c r="F1039" s="1"/>
      <c r="G1039" s="1">
        <v>18.367000000000001</v>
      </c>
      <c r="H1039" s="1">
        <v>3.6999999999999998E-2</v>
      </c>
      <c r="I1039" s="12">
        <f t="shared" si="325"/>
        <v>18.404</v>
      </c>
      <c r="J1039" s="12">
        <v>11293.696</v>
      </c>
      <c r="K1039" s="12"/>
      <c r="L1039" s="12">
        <f t="shared" si="326"/>
        <v>11293.696</v>
      </c>
      <c r="M1039" s="12">
        <f t="shared" si="323"/>
        <v>613.6544229515323</v>
      </c>
      <c r="N1039" s="12" t="e">
        <f t="shared" si="327"/>
        <v>#REF!</v>
      </c>
      <c r="O1039" s="12" t="e">
        <f t="shared" si="328"/>
        <v>#REF!</v>
      </c>
      <c r="P1039" s="12" t="e">
        <f t="shared" si="329"/>
        <v>#REF!</v>
      </c>
    </row>
    <row r="1040" spans="1:16" ht="15.75" hidden="1" x14ac:dyDescent="0.25">
      <c r="A1040" s="14">
        <v>19</v>
      </c>
      <c r="B1040" s="14">
        <v>18</v>
      </c>
      <c r="C1040" s="8" t="s">
        <v>1129</v>
      </c>
      <c r="D1040" s="28" t="s">
        <v>2417</v>
      </c>
      <c r="E1040" s="12" t="s">
        <v>1587</v>
      </c>
      <c r="F1040" s="1"/>
      <c r="G1040" s="1">
        <v>13.401999999999999</v>
      </c>
      <c r="H1040" s="1">
        <v>8.0000000000000002E-3</v>
      </c>
      <c r="I1040" s="12">
        <f t="shared" si="325"/>
        <v>13.409999999999998</v>
      </c>
      <c r="J1040" s="12">
        <f>6715.533-300.9</f>
        <v>6414.6330000000007</v>
      </c>
      <c r="K1040" s="12"/>
      <c r="L1040" s="12">
        <f t="shared" si="326"/>
        <v>6414.6330000000007</v>
      </c>
      <c r="M1040" s="12">
        <f t="shared" si="323"/>
        <v>478.34697986577191</v>
      </c>
      <c r="N1040" s="12" t="e">
        <f t="shared" si="327"/>
        <v>#REF!</v>
      </c>
      <c r="O1040" s="12" t="e">
        <f t="shared" si="328"/>
        <v>#REF!</v>
      </c>
      <c r="P1040" s="12" t="e">
        <f t="shared" si="329"/>
        <v>#REF!</v>
      </c>
    </row>
    <row r="1041" spans="1:16" ht="15.75" hidden="1" x14ac:dyDescent="0.25">
      <c r="A1041" s="14">
        <v>19</v>
      </c>
      <c r="B1041" s="14">
        <v>19</v>
      </c>
      <c r="C1041" s="8" t="s">
        <v>1129</v>
      </c>
      <c r="D1041" s="28" t="s">
        <v>2418</v>
      </c>
      <c r="E1041" s="12" t="s">
        <v>1588</v>
      </c>
      <c r="F1041" s="1"/>
      <c r="G1041" s="1">
        <v>50.338999999999999</v>
      </c>
      <c r="H1041" s="1">
        <v>0.155</v>
      </c>
      <c r="I1041" s="12">
        <f t="shared" si="325"/>
        <v>50.494</v>
      </c>
      <c r="J1041" s="12">
        <v>42483.072</v>
      </c>
      <c r="K1041" s="12"/>
      <c r="L1041" s="12">
        <f t="shared" si="326"/>
        <v>42483.072</v>
      </c>
      <c r="M1041" s="12">
        <f t="shared" si="323"/>
        <v>841.34891274210793</v>
      </c>
      <c r="N1041" s="12" t="e">
        <f t="shared" si="327"/>
        <v>#REF!</v>
      </c>
      <c r="O1041" s="12" t="e">
        <f t="shared" si="328"/>
        <v>#REF!</v>
      </c>
      <c r="P1041" s="12" t="e">
        <f t="shared" si="329"/>
        <v>#REF!</v>
      </c>
    </row>
    <row r="1042" spans="1:16" ht="15.75" hidden="1" x14ac:dyDescent="0.25">
      <c r="A1042" s="14">
        <v>19</v>
      </c>
      <c r="B1042" s="14">
        <v>20</v>
      </c>
      <c r="C1042" s="8" t="s">
        <v>1129</v>
      </c>
      <c r="D1042" s="28" t="s">
        <v>2419</v>
      </c>
      <c r="E1042" s="12" t="s">
        <v>1589</v>
      </c>
      <c r="F1042" s="1"/>
      <c r="G1042" s="1">
        <v>31.867999999999999</v>
      </c>
      <c r="H1042" s="1">
        <v>6.7000000000000004E-2</v>
      </c>
      <c r="I1042" s="12">
        <f t="shared" si="325"/>
        <v>31.934999999999999</v>
      </c>
      <c r="J1042" s="12">
        <v>19105.373</v>
      </c>
      <c r="K1042" s="12"/>
      <c r="L1042" s="12">
        <f t="shared" si="326"/>
        <v>19105.373</v>
      </c>
      <c r="M1042" s="12">
        <f t="shared" si="323"/>
        <v>598.25811805229375</v>
      </c>
      <c r="N1042" s="12" t="e">
        <f t="shared" si="327"/>
        <v>#REF!</v>
      </c>
      <c r="O1042" s="12" t="e">
        <f t="shared" si="328"/>
        <v>#REF!</v>
      </c>
      <c r="P1042" s="12" t="e">
        <f t="shared" si="329"/>
        <v>#REF!</v>
      </c>
    </row>
    <row r="1043" spans="1:16" ht="15.75" hidden="1" x14ac:dyDescent="0.25">
      <c r="A1043" s="14">
        <v>19</v>
      </c>
      <c r="B1043" s="14">
        <v>21</v>
      </c>
      <c r="C1043" s="8" t="s">
        <v>1129</v>
      </c>
      <c r="D1043" s="28" t="s">
        <v>2420</v>
      </c>
      <c r="E1043" s="12" t="s">
        <v>1590</v>
      </c>
      <c r="F1043" s="1"/>
      <c r="G1043" s="1">
        <v>8.5619999999999994</v>
      </c>
      <c r="H1043" s="1">
        <v>1.7000000000000001E-2</v>
      </c>
      <c r="I1043" s="12">
        <f t="shared" si="325"/>
        <v>8.5789999999999988</v>
      </c>
      <c r="J1043" s="12">
        <v>4844.7479999999996</v>
      </c>
      <c r="K1043" s="12"/>
      <c r="L1043" s="12">
        <f t="shared" si="326"/>
        <v>4844.7479999999996</v>
      </c>
      <c r="M1043" s="12">
        <f t="shared" si="323"/>
        <v>564.72176244317518</v>
      </c>
      <c r="N1043" s="12" t="e">
        <f t="shared" si="327"/>
        <v>#REF!</v>
      </c>
      <c r="O1043" s="12" t="e">
        <f t="shared" si="328"/>
        <v>#REF!</v>
      </c>
      <c r="P1043" s="12" t="e">
        <f t="shared" si="329"/>
        <v>#REF!</v>
      </c>
    </row>
    <row r="1044" spans="1:16" ht="15.75" hidden="1" x14ac:dyDescent="0.25">
      <c r="A1044" s="14">
        <v>19</v>
      </c>
      <c r="B1044" s="14" t="s">
        <v>1126</v>
      </c>
      <c r="C1044" s="10" t="s">
        <v>1743</v>
      </c>
      <c r="D1044" s="29"/>
      <c r="E1044" s="37" t="s">
        <v>1747</v>
      </c>
      <c r="F1044" s="6"/>
      <c r="G1044" s="37">
        <f t="shared" ref="G1044:L1044" si="330">SUM(G1045:G1084)</f>
        <v>329.41700000000003</v>
      </c>
      <c r="H1044" s="37">
        <f t="shared" si="330"/>
        <v>0.43800000000000006</v>
      </c>
      <c r="I1044" s="37">
        <f t="shared" si="330"/>
        <v>329.85500000000008</v>
      </c>
      <c r="J1044" s="37">
        <f t="shared" si="330"/>
        <v>260830.848</v>
      </c>
      <c r="K1044" s="37">
        <f t="shared" si="330"/>
        <v>0</v>
      </c>
      <c r="L1044" s="37">
        <f t="shared" si="330"/>
        <v>260830.848</v>
      </c>
      <c r="M1044" s="37">
        <f t="shared" si="323"/>
        <v>790.74395719331199</v>
      </c>
      <c r="N1044" s="37" t="e">
        <f>SUM(N1045:N1070)</f>
        <v>#REF!</v>
      </c>
      <c r="O1044" s="37" t="e">
        <f>SUM(O1045:O1084)</f>
        <v>#REF!</v>
      </c>
      <c r="P1044" s="37" t="e">
        <f>SUM(P1045:P1084)</f>
        <v>#REF!</v>
      </c>
    </row>
    <row r="1045" spans="1:16" ht="15.75" hidden="1" x14ac:dyDescent="0.25">
      <c r="A1045" s="14">
        <v>19</v>
      </c>
      <c r="B1045" s="14">
        <v>22</v>
      </c>
      <c r="C1045" s="8" t="s">
        <v>1744</v>
      </c>
      <c r="D1045" s="28" t="s">
        <v>2635</v>
      </c>
      <c r="E1045" s="12" t="s">
        <v>2636</v>
      </c>
      <c r="F1045" s="1"/>
      <c r="G1045" s="1">
        <v>5.74</v>
      </c>
      <c r="H1045" s="1">
        <v>4.0000000000000001E-3</v>
      </c>
      <c r="I1045" s="12">
        <f t="shared" ref="I1045:I1084" si="331">H1045+G1045</f>
        <v>5.7439999999999998</v>
      </c>
      <c r="J1045" s="12">
        <v>30830.433000000001</v>
      </c>
      <c r="K1045" s="12"/>
      <c r="L1045" s="12">
        <f t="shared" ref="L1045:L1084" si="332">J1045+K1045</f>
        <v>30830.433000000001</v>
      </c>
      <c r="M1045" s="12">
        <f t="shared" si="323"/>
        <v>5367.4152158774377</v>
      </c>
      <c r="N1045" s="12" t="e">
        <f t="shared" ref="N1045:N1084" si="333">M1045/$M$1433</f>
        <v>#REF!</v>
      </c>
      <c r="O1045" s="12" t="e">
        <f t="shared" ref="O1045:O1084" si="334">ROUND(IF(N1045&lt;110%,0,(M1045-$M$1433*1.1)*0.8)*I1045,1)</f>
        <v>#REF!</v>
      </c>
      <c r="P1045" s="12" t="e">
        <f t="shared" ref="P1045:P1084" si="335">ROUND(IF(N1045&gt;90%,0,(-M1045+$M$1433*0.9)*0.8)*I1045,1)</f>
        <v>#REF!</v>
      </c>
    </row>
    <row r="1046" spans="1:16" ht="15.75" hidden="1" x14ac:dyDescent="0.25">
      <c r="A1046" s="14">
        <v>19</v>
      </c>
      <c r="B1046" s="14">
        <v>23</v>
      </c>
      <c r="C1046" s="8" t="s">
        <v>1744</v>
      </c>
      <c r="D1046" s="28" t="s">
        <v>2637</v>
      </c>
      <c r="E1046" s="12" t="s">
        <v>2638</v>
      </c>
      <c r="F1046" s="1"/>
      <c r="G1046" s="1">
        <v>3.798</v>
      </c>
      <c r="H1046" s="1">
        <v>2E-3</v>
      </c>
      <c r="I1046" s="12">
        <f t="shared" si="331"/>
        <v>3.8</v>
      </c>
      <c r="J1046" s="12">
        <v>1672.38</v>
      </c>
      <c r="K1046" s="12"/>
      <c r="L1046" s="12">
        <f t="shared" si="332"/>
        <v>1672.38</v>
      </c>
      <c r="M1046" s="12">
        <f t="shared" si="323"/>
        <v>440.1</v>
      </c>
      <c r="N1046" s="12" t="e">
        <f t="shared" si="333"/>
        <v>#REF!</v>
      </c>
      <c r="O1046" s="12" t="e">
        <f t="shared" si="334"/>
        <v>#REF!</v>
      </c>
      <c r="P1046" s="12" t="e">
        <f t="shared" si="335"/>
        <v>#REF!</v>
      </c>
    </row>
    <row r="1047" spans="1:16" ht="15.75" hidden="1" x14ac:dyDescent="0.25">
      <c r="A1047" s="14">
        <v>19</v>
      </c>
      <c r="B1047" s="14">
        <v>24</v>
      </c>
      <c r="C1047" s="8" t="s">
        <v>1744</v>
      </c>
      <c r="D1047" s="28" t="s">
        <v>2639</v>
      </c>
      <c r="E1047" s="12" t="s">
        <v>2640</v>
      </c>
      <c r="F1047" s="1"/>
      <c r="G1047" s="1">
        <v>6.1609999999999996</v>
      </c>
      <c r="H1047" s="1">
        <v>2E-3</v>
      </c>
      <c r="I1047" s="12">
        <f t="shared" si="331"/>
        <v>6.1629999999999994</v>
      </c>
      <c r="J1047" s="12">
        <v>4992.0050000000001</v>
      </c>
      <c r="K1047" s="12"/>
      <c r="L1047" s="12">
        <f t="shared" si="332"/>
        <v>4992.0050000000001</v>
      </c>
      <c r="M1047" s="12">
        <f t="shared" si="323"/>
        <v>809.99594353399334</v>
      </c>
      <c r="N1047" s="12" t="e">
        <f t="shared" si="333"/>
        <v>#REF!</v>
      </c>
      <c r="O1047" s="12" t="e">
        <f t="shared" si="334"/>
        <v>#REF!</v>
      </c>
      <c r="P1047" s="12" t="e">
        <f t="shared" si="335"/>
        <v>#REF!</v>
      </c>
    </row>
    <row r="1048" spans="1:16" ht="15.75" hidden="1" x14ac:dyDescent="0.25">
      <c r="A1048" s="14">
        <v>19</v>
      </c>
      <c r="B1048" s="14">
        <v>25</v>
      </c>
      <c r="C1048" s="8" t="s">
        <v>1744</v>
      </c>
      <c r="D1048" s="28" t="s">
        <v>2641</v>
      </c>
      <c r="E1048" s="12" t="s">
        <v>2642</v>
      </c>
      <c r="F1048" s="1"/>
      <c r="G1048" s="1">
        <v>11.151999999999999</v>
      </c>
      <c r="H1048" s="1">
        <v>1.4E-2</v>
      </c>
      <c r="I1048" s="12">
        <f t="shared" si="331"/>
        <v>11.165999999999999</v>
      </c>
      <c r="J1048" s="12">
        <v>10069.673000000001</v>
      </c>
      <c r="K1048" s="12"/>
      <c r="L1048" s="12">
        <f t="shared" si="332"/>
        <v>10069.673000000001</v>
      </c>
      <c r="M1048" s="12">
        <f t="shared" si="323"/>
        <v>901.8156009313991</v>
      </c>
      <c r="N1048" s="12" t="e">
        <f t="shared" si="333"/>
        <v>#REF!</v>
      </c>
      <c r="O1048" s="12" t="e">
        <f t="shared" si="334"/>
        <v>#REF!</v>
      </c>
      <c r="P1048" s="12" t="e">
        <f t="shared" si="335"/>
        <v>#REF!</v>
      </c>
    </row>
    <row r="1049" spans="1:16" ht="15.75" hidden="1" x14ac:dyDescent="0.25">
      <c r="A1049" s="14">
        <v>19</v>
      </c>
      <c r="B1049" s="14">
        <v>26</v>
      </c>
      <c r="C1049" s="8" t="s">
        <v>1744</v>
      </c>
      <c r="D1049" s="28" t="s">
        <v>2643</v>
      </c>
      <c r="E1049" s="12" t="s">
        <v>2644</v>
      </c>
      <c r="F1049" s="1"/>
      <c r="G1049" s="1">
        <v>8.3049999999999997</v>
      </c>
      <c r="H1049" s="1">
        <v>2.5000000000000001E-2</v>
      </c>
      <c r="I1049" s="12">
        <f t="shared" si="331"/>
        <v>8.33</v>
      </c>
      <c r="J1049" s="12">
        <v>13484.736000000001</v>
      </c>
      <c r="K1049" s="12"/>
      <c r="L1049" s="12">
        <f t="shared" si="332"/>
        <v>13484.736000000001</v>
      </c>
      <c r="M1049" s="12">
        <f t="shared" si="323"/>
        <v>1618.8158463385355</v>
      </c>
      <c r="N1049" s="12" t="e">
        <f t="shared" si="333"/>
        <v>#REF!</v>
      </c>
      <c r="O1049" s="12" t="e">
        <f t="shared" si="334"/>
        <v>#REF!</v>
      </c>
      <c r="P1049" s="12" t="e">
        <f t="shared" si="335"/>
        <v>#REF!</v>
      </c>
    </row>
    <row r="1050" spans="1:16" ht="15.75" hidden="1" x14ac:dyDescent="0.25">
      <c r="A1050" s="14">
        <v>19</v>
      </c>
      <c r="B1050" s="14">
        <v>27</v>
      </c>
      <c r="C1050" s="8" t="s">
        <v>1744</v>
      </c>
      <c r="D1050" s="28" t="s">
        <v>2645</v>
      </c>
      <c r="E1050" s="12" t="s">
        <v>2646</v>
      </c>
      <c r="F1050" s="1"/>
      <c r="G1050" s="1">
        <v>4.399</v>
      </c>
      <c r="H1050" s="1">
        <v>8.9999999999999993E-3</v>
      </c>
      <c r="I1050" s="12">
        <f t="shared" si="331"/>
        <v>4.4080000000000004</v>
      </c>
      <c r="J1050" s="12">
        <v>6284.9650000000001</v>
      </c>
      <c r="K1050" s="12"/>
      <c r="L1050" s="12">
        <f t="shared" si="332"/>
        <v>6284.9650000000001</v>
      </c>
      <c r="M1050" s="12">
        <f t="shared" si="323"/>
        <v>1425.8087568058074</v>
      </c>
      <c r="N1050" s="12" t="e">
        <f t="shared" si="333"/>
        <v>#REF!</v>
      </c>
      <c r="O1050" s="12" t="e">
        <f t="shared" si="334"/>
        <v>#REF!</v>
      </c>
      <c r="P1050" s="12" t="e">
        <f t="shared" si="335"/>
        <v>#REF!</v>
      </c>
    </row>
    <row r="1051" spans="1:16" ht="15.75" hidden="1" x14ac:dyDescent="0.25">
      <c r="A1051" s="14">
        <v>19</v>
      </c>
      <c r="B1051" s="14">
        <v>28</v>
      </c>
      <c r="C1051" s="8" t="s">
        <v>1744</v>
      </c>
      <c r="D1051" s="28" t="s">
        <v>2647</v>
      </c>
      <c r="E1051" s="12" t="s">
        <v>2648</v>
      </c>
      <c r="F1051" s="1"/>
      <c r="G1051" s="1">
        <v>8.0540000000000003</v>
      </c>
      <c r="H1051" s="1">
        <v>7.0000000000000001E-3</v>
      </c>
      <c r="I1051" s="12">
        <f t="shared" si="331"/>
        <v>8.0609999999999999</v>
      </c>
      <c r="J1051" s="12">
        <v>6174.7</v>
      </c>
      <c r="K1051" s="12"/>
      <c r="L1051" s="12">
        <f t="shared" si="332"/>
        <v>6174.7</v>
      </c>
      <c r="M1051" s="12">
        <f t="shared" si="323"/>
        <v>765.99677459372288</v>
      </c>
      <c r="N1051" s="12" t="e">
        <f t="shared" si="333"/>
        <v>#REF!</v>
      </c>
      <c r="O1051" s="12" t="e">
        <f t="shared" si="334"/>
        <v>#REF!</v>
      </c>
      <c r="P1051" s="12" t="e">
        <f t="shared" si="335"/>
        <v>#REF!</v>
      </c>
    </row>
    <row r="1052" spans="1:16" ht="15.75" hidden="1" x14ac:dyDescent="0.25">
      <c r="A1052" s="14">
        <v>19</v>
      </c>
      <c r="B1052" s="14">
        <v>29</v>
      </c>
      <c r="C1052" s="8" t="s">
        <v>1744</v>
      </c>
      <c r="D1052" s="28" t="s">
        <v>2649</v>
      </c>
      <c r="E1052" s="12" t="s">
        <v>2650</v>
      </c>
      <c r="F1052" s="1"/>
      <c r="G1052" s="1">
        <v>10.815</v>
      </c>
      <c r="H1052" s="1">
        <v>8.0000000000000002E-3</v>
      </c>
      <c r="I1052" s="12">
        <f t="shared" si="331"/>
        <v>10.822999999999999</v>
      </c>
      <c r="J1052" s="12">
        <v>3321.9839999999999</v>
      </c>
      <c r="K1052" s="12"/>
      <c r="L1052" s="12">
        <f t="shared" si="332"/>
        <v>3321.9839999999999</v>
      </c>
      <c r="M1052" s="12">
        <f t="shared" si="323"/>
        <v>306.93744802734921</v>
      </c>
      <c r="N1052" s="12" t="e">
        <f t="shared" si="333"/>
        <v>#REF!</v>
      </c>
      <c r="O1052" s="12" t="e">
        <f t="shared" si="334"/>
        <v>#REF!</v>
      </c>
      <c r="P1052" s="12" t="e">
        <f t="shared" si="335"/>
        <v>#REF!</v>
      </c>
    </row>
    <row r="1053" spans="1:16" ht="15.75" hidden="1" x14ac:dyDescent="0.25">
      <c r="A1053" s="14">
        <v>19</v>
      </c>
      <c r="B1053" s="14">
        <v>30</v>
      </c>
      <c r="C1053" s="8" t="s">
        <v>1744</v>
      </c>
      <c r="D1053" s="28" t="s">
        <v>2651</v>
      </c>
      <c r="E1053" s="12" t="s">
        <v>2652</v>
      </c>
      <c r="F1053" s="1"/>
      <c r="G1053" s="1">
        <v>4.4539999999999997</v>
      </c>
      <c r="H1053" s="1">
        <v>1.4999999999999999E-2</v>
      </c>
      <c r="I1053" s="12">
        <f t="shared" si="331"/>
        <v>4.4689999999999994</v>
      </c>
      <c r="J1053" s="12">
        <v>4532.8760000000002</v>
      </c>
      <c r="K1053" s="12"/>
      <c r="L1053" s="12">
        <f t="shared" si="332"/>
        <v>4532.8760000000002</v>
      </c>
      <c r="M1053" s="12">
        <f t="shared" si="323"/>
        <v>1014.2931304542406</v>
      </c>
      <c r="N1053" s="12" t="e">
        <f t="shared" si="333"/>
        <v>#REF!</v>
      </c>
      <c r="O1053" s="12" t="e">
        <f t="shared" si="334"/>
        <v>#REF!</v>
      </c>
      <c r="P1053" s="12" t="e">
        <f t="shared" si="335"/>
        <v>#REF!</v>
      </c>
    </row>
    <row r="1054" spans="1:16" ht="15.75" hidden="1" x14ac:dyDescent="0.25">
      <c r="A1054" s="14">
        <v>19</v>
      </c>
      <c r="B1054" s="14">
        <v>31</v>
      </c>
      <c r="C1054" s="8" t="s">
        <v>1744</v>
      </c>
      <c r="D1054" s="28" t="s">
        <v>2653</v>
      </c>
      <c r="E1054" s="12" t="s">
        <v>2654</v>
      </c>
      <c r="F1054" s="1"/>
      <c r="G1054" s="1">
        <v>4.5810000000000004</v>
      </c>
      <c r="H1054" s="1">
        <v>0</v>
      </c>
      <c r="I1054" s="12">
        <f t="shared" si="331"/>
        <v>4.5810000000000004</v>
      </c>
      <c r="J1054" s="12">
        <v>3664.2159999999999</v>
      </c>
      <c r="K1054" s="12"/>
      <c r="L1054" s="12">
        <f t="shared" si="332"/>
        <v>3664.2159999999999</v>
      </c>
      <c r="M1054" s="12">
        <f t="shared" si="323"/>
        <v>799.87251691770348</v>
      </c>
      <c r="N1054" s="12" t="e">
        <f t="shared" si="333"/>
        <v>#REF!</v>
      </c>
      <c r="O1054" s="12" t="e">
        <f t="shared" si="334"/>
        <v>#REF!</v>
      </c>
      <c r="P1054" s="12" t="e">
        <f t="shared" si="335"/>
        <v>#REF!</v>
      </c>
    </row>
    <row r="1055" spans="1:16" ht="15.75" hidden="1" x14ac:dyDescent="0.25">
      <c r="A1055" s="14">
        <v>19</v>
      </c>
      <c r="B1055" s="14">
        <v>32</v>
      </c>
      <c r="C1055" s="8" t="s">
        <v>1744</v>
      </c>
      <c r="D1055" s="28" t="s">
        <v>2655</v>
      </c>
      <c r="E1055" s="12" t="s">
        <v>2656</v>
      </c>
      <c r="F1055" s="1"/>
      <c r="G1055" s="1">
        <v>4.5529999999999999</v>
      </c>
      <c r="H1055" s="1">
        <v>8.0000000000000002E-3</v>
      </c>
      <c r="I1055" s="12">
        <f t="shared" si="331"/>
        <v>4.5609999999999999</v>
      </c>
      <c r="J1055" s="12">
        <v>1612.6990000000001</v>
      </c>
      <c r="K1055" s="12"/>
      <c r="L1055" s="12">
        <f t="shared" si="332"/>
        <v>1612.6990000000001</v>
      </c>
      <c r="M1055" s="12">
        <f t="shared" si="323"/>
        <v>353.58452093839071</v>
      </c>
      <c r="N1055" s="12" t="e">
        <f t="shared" si="333"/>
        <v>#REF!</v>
      </c>
      <c r="O1055" s="12" t="e">
        <f t="shared" si="334"/>
        <v>#REF!</v>
      </c>
      <c r="P1055" s="12" t="e">
        <f t="shared" si="335"/>
        <v>#REF!</v>
      </c>
    </row>
    <row r="1056" spans="1:16" ht="15.75" hidden="1" x14ac:dyDescent="0.25">
      <c r="A1056" s="14">
        <v>19</v>
      </c>
      <c r="B1056" s="14">
        <v>33</v>
      </c>
      <c r="C1056" s="8" t="s">
        <v>1744</v>
      </c>
      <c r="D1056" s="28" t="s">
        <v>2657</v>
      </c>
      <c r="E1056" s="12" t="s">
        <v>2658</v>
      </c>
      <c r="F1056" s="1"/>
      <c r="G1056" s="1">
        <v>2.7930000000000001</v>
      </c>
      <c r="H1056" s="1">
        <v>1E-3</v>
      </c>
      <c r="I1056" s="12">
        <f t="shared" si="331"/>
        <v>2.794</v>
      </c>
      <c r="J1056" s="12">
        <v>2107.5390000000002</v>
      </c>
      <c r="K1056" s="12"/>
      <c r="L1056" s="12">
        <f t="shared" si="332"/>
        <v>2107.5390000000002</v>
      </c>
      <c r="M1056" s="12">
        <f t="shared" si="323"/>
        <v>754.30887616320695</v>
      </c>
      <c r="N1056" s="12" t="e">
        <f t="shared" si="333"/>
        <v>#REF!</v>
      </c>
      <c r="O1056" s="12" t="e">
        <f t="shared" si="334"/>
        <v>#REF!</v>
      </c>
      <c r="P1056" s="12" t="e">
        <f t="shared" si="335"/>
        <v>#REF!</v>
      </c>
    </row>
    <row r="1057" spans="1:16" ht="15.75" hidden="1" x14ac:dyDescent="0.25">
      <c r="A1057" s="14">
        <v>19</v>
      </c>
      <c r="B1057" s="14">
        <v>34</v>
      </c>
      <c r="C1057" s="8" t="s">
        <v>1744</v>
      </c>
      <c r="D1057" s="28" t="s">
        <v>2659</v>
      </c>
      <c r="E1057" s="12" t="s">
        <v>2660</v>
      </c>
      <c r="F1057" s="1"/>
      <c r="G1057" s="1">
        <v>4.7249999999999996</v>
      </c>
      <c r="H1057" s="1">
        <v>1E-3</v>
      </c>
      <c r="I1057" s="12">
        <f t="shared" si="331"/>
        <v>4.726</v>
      </c>
      <c r="J1057" s="12">
        <v>1884.896</v>
      </c>
      <c r="K1057" s="12"/>
      <c r="L1057" s="12">
        <f t="shared" si="332"/>
        <v>1884.896</v>
      </c>
      <c r="M1057" s="12">
        <f t="shared" si="323"/>
        <v>398.83537875581885</v>
      </c>
      <c r="N1057" s="12" t="e">
        <f t="shared" si="333"/>
        <v>#REF!</v>
      </c>
      <c r="O1057" s="12" t="e">
        <f t="shared" si="334"/>
        <v>#REF!</v>
      </c>
      <c r="P1057" s="12" t="e">
        <f t="shared" si="335"/>
        <v>#REF!</v>
      </c>
    </row>
    <row r="1058" spans="1:16" ht="15.75" hidden="1" x14ac:dyDescent="0.25">
      <c r="A1058" s="14">
        <v>19</v>
      </c>
      <c r="B1058" s="14">
        <v>35</v>
      </c>
      <c r="C1058" s="8" t="s">
        <v>1744</v>
      </c>
      <c r="D1058" s="28" t="s">
        <v>2661</v>
      </c>
      <c r="E1058" s="12" t="s">
        <v>2662</v>
      </c>
      <c r="F1058" s="1"/>
      <c r="G1058" s="1">
        <v>2.3039999999999998</v>
      </c>
      <c r="H1058" s="1">
        <v>0</v>
      </c>
      <c r="I1058" s="12">
        <f t="shared" si="331"/>
        <v>2.3039999999999998</v>
      </c>
      <c r="J1058" s="12">
        <v>1293.3989999999999</v>
      </c>
      <c r="K1058" s="12"/>
      <c r="L1058" s="12">
        <f t="shared" si="332"/>
        <v>1293.3989999999999</v>
      </c>
      <c r="M1058" s="12">
        <f t="shared" si="323"/>
        <v>561.37109375</v>
      </c>
      <c r="N1058" s="12" t="e">
        <f t="shared" si="333"/>
        <v>#REF!</v>
      </c>
      <c r="O1058" s="12" t="e">
        <f t="shared" si="334"/>
        <v>#REF!</v>
      </c>
      <c r="P1058" s="12" t="e">
        <f t="shared" si="335"/>
        <v>#REF!</v>
      </c>
    </row>
    <row r="1059" spans="1:16" ht="15.75" hidden="1" x14ac:dyDescent="0.25">
      <c r="A1059" s="14">
        <v>19</v>
      </c>
      <c r="B1059" s="14">
        <v>36</v>
      </c>
      <c r="C1059" s="8" t="s">
        <v>1744</v>
      </c>
      <c r="D1059" s="28" t="s">
        <v>2663</v>
      </c>
      <c r="E1059" s="12" t="s">
        <v>2664</v>
      </c>
      <c r="F1059" s="1"/>
      <c r="G1059" s="1">
        <v>15.942</v>
      </c>
      <c r="H1059" s="1">
        <v>1.4E-2</v>
      </c>
      <c r="I1059" s="12">
        <f t="shared" si="331"/>
        <v>15.956</v>
      </c>
      <c r="J1059" s="12">
        <v>5343.2280000000001</v>
      </c>
      <c r="K1059" s="12"/>
      <c r="L1059" s="12">
        <f t="shared" si="332"/>
        <v>5343.2280000000001</v>
      </c>
      <c r="M1059" s="12">
        <f t="shared" si="323"/>
        <v>334.87264978691405</v>
      </c>
      <c r="N1059" s="12" t="e">
        <f t="shared" si="333"/>
        <v>#REF!</v>
      </c>
      <c r="O1059" s="12" t="e">
        <f t="shared" si="334"/>
        <v>#REF!</v>
      </c>
      <c r="P1059" s="12" t="e">
        <f t="shared" si="335"/>
        <v>#REF!</v>
      </c>
    </row>
    <row r="1060" spans="1:16" ht="15.75" hidden="1" x14ac:dyDescent="0.25">
      <c r="A1060" s="14">
        <v>19</v>
      </c>
      <c r="B1060" s="14">
        <v>37</v>
      </c>
      <c r="C1060" s="8" t="s">
        <v>1744</v>
      </c>
      <c r="D1060" s="28" t="s">
        <v>2665</v>
      </c>
      <c r="E1060" s="12" t="s">
        <v>142</v>
      </c>
      <c r="F1060" s="1"/>
      <c r="G1060" s="1">
        <v>7.907</v>
      </c>
      <c r="H1060" s="1">
        <v>1.6E-2</v>
      </c>
      <c r="I1060" s="12">
        <f t="shared" si="331"/>
        <v>7.923</v>
      </c>
      <c r="J1060" s="12">
        <v>5441.4589999999998</v>
      </c>
      <c r="K1060" s="12"/>
      <c r="L1060" s="12">
        <f t="shared" si="332"/>
        <v>5441.4589999999998</v>
      </c>
      <c r="M1060" s="12">
        <f t="shared" si="323"/>
        <v>686.79275526946856</v>
      </c>
      <c r="N1060" s="12" t="e">
        <f t="shared" si="333"/>
        <v>#REF!</v>
      </c>
      <c r="O1060" s="12" t="e">
        <f t="shared" si="334"/>
        <v>#REF!</v>
      </c>
      <c r="P1060" s="12" t="e">
        <f t="shared" si="335"/>
        <v>#REF!</v>
      </c>
    </row>
    <row r="1061" spans="1:16" ht="15.75" hidden="1" x14ac:dyDescent="0.25">
      <c r="A1061" s="14">
        <v>19</v>
      </c>
      <c r="B1061" s="14">
        <v>38</v>
      </c>
      <c r="C1061" s="8" t="s">
        <v>1744</v>
      </c>
      <c r="D1061" s="28" t="s">
        <v>2666</v>
      </c>
      <c r="E1061" s="12" t="s">
        <v>2667</v>
      </c>
      <c r="F1061" s="1"/>
      <c r="G1061" s="1">
        <v>3.6179999999999999</v>
      </c>
      <c r="H1061" s="1">
        <v>1E-3</v>
      </c>
      <c r="I1061" s="12">
        <f t="shared" si="331"/>
        <v>3.6189999999999998</v>
      </c>
      <c r="J1061" s="12">
        <v>2157.3310000000001</v>
      </c>
      <c r="K1061" s="12"/>
      <c r="L1061" s="12">
        <f t="shared" si="332"/>
        <v>2157.3310000000001</v>
      </c>
      <c r="M1061" s="12">
        <f t="shared" si="323"/>
        <v>596.11246200607911</v>
      </c>
      <c r="N1061" s="12" t="e">
        <f t="shared" si="333"/>
        <v>#REF!</v>
      </c>
      <c r="O1061" s="12" t="e">
        <f t="shared" si="334"/>
        <v>#REF!</v>
      </c>
      <c r="P1061" s="12" t="e">
        <f t="shared" si="335"/>
        <v>#REF!</v>
      </c>
    </row>
    <row r="1062" spans="1:16" ht="15.75" hidden="1" x14ac:dyDescent="0.25">
      <c r="A1062" s="14">
        <v>19</v>
      </c>
      <c r="B1062" s="14">
        <v>39</v>
      </c>
      <c r="C1062" s="8" t="s">
        <v>1744</v>
      </c>
      <c r="D1062" s="28" t="s">
        <v>2668</v>
      </c>
      <c r="E1062" s="12" t="s">
        <v>2669</v>
      </c>
      <c r="F1062" s="1"/>
      <c r="G1062" s="1">
        <v>6.2990000000000004</v>
      </c>
      <c r="H1062" s="1">
        <v>6.0000000000000001E-3</v>
      </c>
      <c r="I1062" s="12">
        <f t="shared" si="331"/>
        <v>6.3050000000000006</v>
      </c>
      <c r="J1062" s="12">
        <v>3141.6410000000001</v>
      </c>
      <c r="K1062" s="12"/>
      <c r="L1062" s="12">
        <f t="shared" si="332"/>
        <v>3141.6410000000001</v>
      </c>
      <c r="M1062" s="12">
        <f t="shared" si="323"/>
        <v>498.27771609833462</v>
      </c>
      <c r="N1062" s="12" t="e">
        <f t="shared" si="333"/>
        <v>#REF!</v>
      </c>
      <c r="O1062" s="12" t="e">
        <f t="shared" si="334"/>
        <v>#REF!</v>
      </c>
      <c r="P1062" s="12" t="e">
        <f t="shared" si="335"/>
        <v>#REF!</v>
      </c>
    </row>
    <row r="1063" spans="1:16" ht="15.75" hidden="1" x14ac:dyDescent="0.25">
      <c r="A1063" s="14">
        <v>19</v>
      </c>
      <c r="B1063" s="14">
        <v>40</v>
      </c>
      <c r="C1063" s="8" t="s">
        <v>1744</v>
      </c>
      <c r="D1063" s="28" t="s">
        <v>2670</v>
      </c>
      <c r="E1063" s="12" t="s">
        <v>2671</v>
      </c>
      <c r="F1063" s="1"/>
      <c r="G1063" s="1">
        <v>2.6589999999999998</v>
      </c>
      <c r="H1063" s="1">
        <v>1E-3</v>
      </c>
      <c r="I1063" s="12">
        <f t="shared" si="331"/>
        <v>2.6599999999999997</v>
      </c>
      <c r="J1063" s="12">
        <v>1334.008</v>
      </c>
      <c r="K1063" s="12"/>
      <c r="L1063" s="12">
        <f t="shared" si="332"/>
        <v>1334.008</v>
      </c>
      <c r="M1063" s="12">
        <f t="shared" si="323"/>
        <v>501.50676691729331</v>
      </c>
      <c r="N1063" s="12" t="e">
        <f t="shared" si="333"/>
        <v>#REF!</v>
      </c>
      <c r="O1063" s="12" t="e">
        <f t="shared" si="334"/>
        <v>#REF!</v>
      </c>
      <c r="P1063" s="12" t="e">
        <f t="shared" si="335"/>
        <v>#REF!</v>
      </c>
    </row>
    <row r="1064" spans="1:16" ht="15.75" hidden="1" x14ac:dyDescent="0.25">
      <c r="A1064" s="14">
        <v>19</v>
      </c>
      <c r="B1064" s="14">
        <v>41</v>
      </c>
      <c r="C1064" s="8" t="s">
        <v>1744</v>
      </c>
      <c r="D1064" s="28" t="s">
        <v>2672</v>
      </c>
      <c r="E1064" s="12" t="s">
        <v>2673</v>
      </c>
      <c r="F1064" s="1"/>
      <c r="G1064" s="1">
        <v>19.571000000000002</v>
      </c>
      <c r="H1064" s="1">
        <v>7.0000000000000001E-3</v>
      </c>
      <c r="I1064" s="12">
        <f t="shared" si="331"/>
        <v>19.578000000000003</v>
      </c>
      <c r="J1064" s="12">
        <v>18403.239000000001</v>
      </c>
      <c r="K1064" s="12"/>
      <c r="L1064" s="12">
        <f t="shared" si="332"/>
        <v>18403.239000000001</v>
      </c>
      <c r="M1064" s="12">
        <f t="shared" si="323"/>
        <v>939.99586270303394</v>
      </c>
      <c r="N1064" s="12" t="e">
        <f t="shared" si="333"/>
        <v>#REF!</v>
      </c>
      <c r="O1064" s="12" t="e">
        <f t="shared" si="334"/>
        <v>#REF!</v>
      </c>
      <c r="P1064" s="12" t="e">
        <f t="shared" si="335"/>
        <v>#REF!</v>
      </c>
    </row>
    <row r="1065" spans="1:16" ht="15.75" hidden="1" x14ac:dyDescent="0.25">
      <c r="A1065" s="14">
        <v>19</v>
      </c>
      <c r="B1065" s="14">
        <v>42</v>
      </c>
      <c r="C1065" s="8" t="s">
        <v>1744</v>
      </c>
      <c r="D1065" s="28" t="s">
        <v>2674</v>
      </c>
      <c r="E1065" s="12" t="s">
        <v>2675</v>
      </c>
      <c r="F1065" s="1"/>
      <c r="G1065" s="1">
        <v>9.4410000000000007</v>
      </c>
      <c r="H1065" s="1">
        <v>8.9999999999999993E-3</v>
      </c>
      <c r="I1065" s="12">
        <f t="shared" si="331"/>
        <v>9.4500000000000011</v>
      </c>
      <c r="J1065" s="12">
        <v>5153.6379999999999</v>
      </c>
      <c r="K1065" s="12"/>
      <c r="L1065" s="12">
        <f t="shared" si="332"/>
        <v>5153.6379999999999</v>
      </c>
      <c r="M1065" s="12">
        <f t="shared" si="323"/>
        <v>545.35851851851839</v>
      </c>
      <c r="N1065" s="12" t="e">
        <f t="shared" si="333"/>
        <v>#REF!</v>
      </c>
      <c r="O1065" s="12" t="e">
        <f t="shared" si="334"/>
        <v>#REF!</v>
      </c>
      <c r="P1065" s="12" t="e">
        <f t="shared" si="335"/>
        <v>#REF!</v>
      </c>
    </row>
    <row r="1066" spans="1:16" ht="15.75" hidden="1" x14ac:dyDescent="0.25">
      <c r="A1066" s="14">
        <v>19</v>
      </c>
      <c r="B1066" s="14">
        <v>43</v>
      </c>
      <c r="C1066" s="8" t="s">
        <v>1744</v>
      </c>
      <c r="D1066" s="28" t="s">
        <v>2676</v>
      </c>
      <c r="E1066" s="12" t="s">
        <v>2677</v>
      </c>
      <c r="F1066" s="1"/>
      <c r="G1066" s="1">
        <v>9.5990000000000002</v>
      </c>
      <c r="H1066" s="1">
        <v>2.8000000000000001E-2</v>
      </c>
      <c r="I1066" s="12">
        <f t="shared" si="331"/>
        <v>9.6270000000000007</v>
      </c>
      <c r="J1066" s="12">
        <v>5886.6319999999996</v>
      </c>
      <c r="K1066" s="12"/>
      <c r="L1066" s="12">
        <f t="shared" si="332"/>
        <v>5886.6319999999996</v>
      </c>
      <c r="M1066" s="12">
        <f t="shared" si="323"/>
        <v>611.47107094629678</v>
      </c>
      <c r="N1066" s="12" t="e">
        <f t="shared" si="333"/>
        <v>#REF!</v>
      </c>
      <c r="O1066" s="12" t="e">
        <f t="shared" si="334"/>
        <v>#REF!</v>
      </c>
      <c r="P1066" s="12" t="e">
        <f t="shared" si="335"/>
        <v>#REF!</v>
      </c>
    </row>
    <row r="1067" spans="1:16" ht="15.75" hidden="1" x14ac:dyDescent="0.25">
      <c r="A1067" s="14">
        <v>19</v>
      </c>
      <c r="B1067" s="14">
        <v>44</v>
      </c>
      <c r="C1067" s="8" t="s">
        <v>1744</v>
      </c>
      <c r="D1067" s="28" t="s">
        <v>2678</v>
      </c>
      <c r="E1067" s="12" t="s">
        <v>2679</v>
      </c>
      <c r="F1067" s="1"/>
      <c r="G1067" s="1">
        <v>14.238</v>
      </c>
      <c r="H1067" s="1">
        <v>6.0000000000000001E-3</v>
      </c>
      <c r="I1067" s="12">
        <f t="shared" si="331"/>
        <v>14.244</v>
      </c>
      <c r="J1067" s="12">
        <v>10310.530000000001</v>
      </c>
      <c r="K1067" s="12"/>
      <c r="L1067" s="12">
        <f t="shared" si="332"/>
        <v>10310.530000000001</v>
      </c>
      <c r="M1067" s="12">
        <f t="shared" si="323"/>
        <v>723.85074417298517</v>
      </c>
      <c r="N1067" s="12" t="e">
        <f t="shared" si="333"/>
        <v>#REF!</v>
      </c>
      <c r="O1067" s="12" t="e">
        <f t="shared" si="334"/>
        <v>#REF!</v>
      </c>
      <c r="P1067" s="12" t="e">
        <f t="shared" si="335"/>
        <v>#REF!</v>
      </c>
    </row>
    <row r="1068" spans="1:16" ht="15.75" hidden="1" x14ac:dyDescent="0.25">
      <c r="A1068" s="14">
        <v>19</v>
      </c>
      <c r="B1068" s="14">
        <v>45</v>
      </c>
      <c r="C1068" s="8" t="s">
        <v>1744</v>
      </c>
      <c r="D1068" s="28" t="s">
        <v>2680</v>
      </c>
      <c r="E1068" s="12" t="s">
        <v>2681</v>
      </c>
      <c r="F1068" s="1"/>
      <c r="G1068" s="1">
        <v>3.9319999999999999</v>
      </c>
      <c r="H1068" s="1">
        <v>1.0999999999999999E-2</v>
      </c>
      <c r="I1068" s="12">
        <f t="shared" si="331"/>
        <v>3.9430000000000001</v>
      </c>
      <c r="J1068" s="12">
        <v>5363.6469999999999</v>
      </c>
      <c r="K1068" s="12"/>
      <c r="L1068" s="12">
        <f t="shared" si="332"/>
        <v>5363.6469999999999</v>
      </c>
      <c r="M1068" s="12">
        <f t="shared" si="323"/>
        <v>1360.2959675374079</v>
      </c>
      <c r="N1068" s="12" t="e">
        <f t="shared" si="333"/>
        <v>#REF!</v>
      </c>
      <c r="O1068" s="12" t="e">
        <f t="shared" si="334"/>
        <v>#REF!</v>
      </c>
      <c r="P1068" s="12" t="e">
        <f t="shared" si="335"/>
        <v>#REF!</v>
      </c>
    </row>
    <row r="1069" spans="1:16" ht="15.75" hidden="1" x14ac:dyDescent="0.25">
      <c r="A1069" s="14">
        <v>19</v>
      </c>
      <c r="B1069" s="14">
        <v>46</v>
      </c>
      <c r="C1069" s="8" t="s">
        <v>1744</v>
      </c>
      <c r="D1069" s="28" t="s">
        <v>2682</v>
      </c>
      <c r="E1069" s="12" t="s">
        <v>2683</v>
      </c>
      <c r="F1069" s="1"/>
      <c r="G1069" s="1">
        <v>30.228999999999999</v>
      </c>
      <c r="H1069" s="1">
        <v>6.9000000000000006E-2</v>
      </c>
      <c r="I1069" s="12">
        <f t="shared" si="331"/>
        <v>30.297999999999998</v>
      </c>
      <c r="J1069" s="12">
        <v>24211.834999999999</v>
      </c>
      <c r="K1069" s="12"/>
      <c r="L1069" s="12">
        <f t="shared" si="332"/>
        <v>24211.834999999999</v>
      </c>
      <c r="M1069" s="12">
        <f t="shared" si="323"/>
        <v>799.12320945276917</v>
      </c>
      <c r="N1069" s="12" t="e">
        <f t="shared" si="333"/>
        <v>#REF!</v>
      </c>
      <c r="O1069" s="12" t="e">
        <f t="shared" si="334"/>
        <v>#REF!</v>
      </c>
      <c r="P1069" s="12" t="e">
        <f t="shared" si="335"/>
        <v>#REF!</v>
      </c>
    </row>
    <row r="1070" spans="1:16" ht="15.75" hidden="1" x14ac:dyDescent="0.25">
      <c r="A1070" s="14">
        <v>19</v>
      </c>
      <c r="B1070" s="14">
        <v>47</v>
      </c>
      <c r="C1070" s="8" t="s">
        <v>1744</v>
      </c>
      <c r="D1070" s="28" t="s">
        <v>2684</v>
      </c>
      <c r="E1070" s="12" t="s">
        <v>2685</v>
      </c>
      <c r="F1070" s="1"/>
      <c r="G1070" s="1">
        <v>21.001999999999999</v>
      </c>
      <c r="H1070" s="1">
        <v>5.2999999999999999E-2</v>
      </c>
      <c r="I1070" s="12">
        <f t="shared" si="331"/>
        <v>21.055</v>
      </c>
      <c r="J1070" s="12">
        <v>12938.699000000001</v>
      </c>
      <c r="K1070" s="12"/>
      <c r="L1070" s="12">
        <f t="shared" si="332"/>
        <v>12938.699000000001</v>
      </c>
      <c r="M1070" s="12">
        <f t="shared" si="323"/>
        <v>614.51906910472576</v>
      </c>
      <c r="N1070" s="12" t="e">
        <f t="shared" si="333"/>
        <v>#REF!</v>
      </c>
      <c r="O1070" s="12" t="e">
        <f t="shared" si="334"/>
        <v>#REF!</v>
      </c>
      <c r="P1070" s="12" t="e">
        <f t="shared" si="335"/>
        <v>#REF!</v>
      </c>
    </row>
    <row r="1071" spans="1:16" ht="15.75" hidden="1" x14ac:dyDescent="0.25">
      <c r="A1071" s="14">
        <v>19</v>
      </c>
      <c r="B1071" s="14">
        <v>48</v>
      </c>
      <c r="C1071" s="8" t="s">
        <v>1744</v>
      </c>
      <c r="D1071" s="28" t="s">
        <v>415</v>
      </c>
      <c r="E1071" s="12" t="s">
        <v>416</v>
      </c>
      <c r="F1071" s="1"/>
      <c r="G1071" s="1">
        <v>17.943999999999999</v>
      </c>
      <c r="H1071" s="1">
        <v>3.5999999999999997E-2</v>
      </c>
      <c r="I1071" s="12">
        <f t="shared" si="331"/>
        <v>17.98</v>
      </c>
      <c r="J1071" s="12">
        <v>15963.179</v>
      </c>
      <c r="K1071" s="12"/>
      <c r="L1071" s="12">
        <f t="shared" si="332"/>
        <v>15963.179</v>
      </c>
      <c r="M1071" s="12">
        <f t="shared" si="323"/>
        <v>887.82975528364852</v>
      </c>
      <c r="N1071" s="12" t="e">
        <f t="shared" si="333"/>
        <v>#REF!</v>
      </c>
      <c r="O1071" s="12" t="e">
        <f t="shared" si="334"/>
        <v>#REF!</v>
      </c>
      <c r="P1071" s="12" t="e">
        <f t="shared" si="335"/>
        <v>#REF!</v>
      </c>
    </row>
    <row r="1072" spans="1:16" ht="15.75" hidden="1" x14ac:dyDescent="0.25">
      <c r="A1072" s="14">
        <v>19</v>
      </c>
      <c r="B1072" s="14">
        <v>49</v>
      </c>
      <c r="C1072" s="8" t="s">
        <v>1744</v>
      </c>
      <c r="D1072" s="28" t="s">
        <v>417</v>
      </c>
      <c r="E1072" s="12" t="s">
        <v>418</v>
      </c>
      <c r="F1072" s="1"/>
      <c r="G1072" s="1">
        <v>8.2029999999999994</v>
      </c>
      <c r="H1072" s="1">
        <v>5.0000000000000001E-3</v>
      </c>
      <c r="I1072" s="12">
        <f t="shared" si="331"/>
        <v>8.2080000000000002</v>
      </c>
      <c r="J1072" s="12">
        <v>2809.634</v>
      </c>
      <c r="K1072" s="12"/>
      <c r="L1072" s="12">
        <f t="shared" si="332"/>
        <v>2809.634</v>
      </c>
      <c r="M1072" s="12">
        <f t="shared" si="323"/>
        <v>342.30433723196882</v>
      </c>
      <c r="N1072" s="12" t="e">
        <f t="shared" si="333"/>
        <v>#REF!</v>
      </c>
      <c r="O1072" s="12" t="e">
        <f t="shared" si="334"/>
        <v>#REF!</v>
      </c>
      <c r="P1072" s="12" t="e">
        <f t="shared" si="335"/>
        <v>#REF!</v>
      </c>
    </row>
    <row r="1073" spans="1:16" ht="15.75" hidden="1" x14ac:dyDescent="0.25">
      <c r="A1073" s="14">
        <v>19</v>
      </c>
      <c r="B1073" s="14">
        <v>50</v>
      </c>
      <c r="C1073" s="8" t="s">
        <v>1744</v>
      </c>
      <c r="D1073" s="28" t="s">
        <v>419</v>
      </c>
      <c r="E1073" s="12" t="s">
        <v>420</v>
      </c>
      <c r="F1073" s="1"/>
      <c r="G1073" s="1">
        <v>2.7850000000000001</v>
      </c>
      <c r="H1073" s="1">
        <v>1E-3</v>
      </c>
      <c r="I1073" s="12">
        <f t="shared" si="331"/>
        <v>2.786</v>
      </c>
      <c r="J1073" s="12">
        <v>2750.056</v>
      </c>
      <c r="K1073" s="12"/>
      <c r="L1073" s="12">
        <f t="shared" si="332"/>
        <v>2750.056</v>
      </c>
      <c r="M1073" s="12">
        <f t="shared" si="323"/>
        <v>987.09834888729358</v>
      </c>
      <c r="N1073" s="12" t="e">
        <f t="shared" si="333"/>
        <v>#REF!</v>
      </c>
      <c r="O1073" s="12" t="e">
        <f t="shared" si="334"/>
        <v>#REF!</v>
      </c>
      <c r="P1073" s="12" t="e">
        <f t="shared" si="335"/>
        <v>#REF!</v>
      </c>
    </row>
    <row r="1074" spans="1:16" ht="15.75" hidden="1" x14ac:dyDescent="0.25">
      <c r="A1074" s="14">
        <v>19</v>
      </c>
      <c r="B1074" s="14">
        <v>51</v>
      </c>
      <c r="C1074" s="8" t="s">
        <v>1744</v>
      </c>
      <c r="D1074" s="28" t="s">
        <v>421</v>
      </c>
      <c r="E1074" s="12" t="s">
        <v>422</v>
      </c>
      <c r="F1074" s="1"/>
      <c r="G1074" s="1">
        <v>6.5229999999999997</v>
      </c>
      <c r="H1074" s="1">
        <v>0</v>
      </c>
      <c r="I1074" s="12">
        <f t="shared" si="331"/>
        <v>6.5229999999999997</v>
      </c>
      <c r="J1074" s="12">
        <v>2860.2020000000002</v>
      </c>
      <c r="K1074" s="12"/>
      <c r="L1074" s="12">
        <f t="shared" si="332"/>
        <v>2860.2020000000002</v>
      </c>
      <c r="M1074" s="12">
        <f t="shared" si="323"/>
        <v>438.47953395676842</v>
      </c>
      <c r="N1074" s="12" t="e">
        <f t="shared" si="333"/>
        <v>#REF!</v>
      </c>
      <c r="O1074" s="12" t="e">
        <f t="shared" si="334"/>
        <v>#REF!</v>
      </c>
      <c r="P1074" s="12" t="e">
        <f t="shared" si="335"/>
        <v>#REF!</v>
      </c>
    </row>
    <row r="1075" spans="1:16" ht="15.75" hidden="1" x14ac:dyDescent="0.25">
      <c r="A1075" s="14">
        <v>19</v>
      </c>
      <c r="B1075" s="14">
        <v>52</v>
      </c>
      <c r="C1075" s="8" t="s">
        <v>1744</v>
      </c>
      <c r="D1075" s="28" t="s">
        <v>423</v>
      </c>
      <c r="E1075" s="12" t="s">
        <v>424</v>
      </c>
      <c r="F1075" s="1"/>
      <c r="G1075" s="1">
        <v>3.819</v>
      </c>
      <c r="H1075" s="1">
        <v>2E-3</v>
      </c>
      <c r="I1075" s="12">
        <f t="shared" si="331"/>
        <v>3.8209999999999997</v>
      </c>
      <c r="J1075" s="12">
        <v>1992.923</v>
      </c>
      <c r="K1075" s="12"/>
      <c r="L1075" s="12">
        <f t="shared" si="332"/>
        <v>1992.923</v>
      </c>
      <c r="M1075" s="12">
        <f t="shared" si="323"/>
        <v>521.57105469772318</v>
      </c>
      <c r="N1075" s="12" t="e">
        <f t="shared" si="333"/>
        <v>#REF!</v>
      </c>
      <c r="O1075" s="12" t="e">
        <f t="shared" si="334"/>
        <v>#REF!</v>
      </c>
      <c r="P1075" s="12" t="e">
        <f t="shared" si="335"/>
        <v>#REF!</v>
      </c>
    </row>
    <row r="1076" spans="1:16" ht="15.75" hidden="1" x14ac:dyDescent="0.25">
      <c r="A1076" s="14">
        <v>19</v>
      </c>
      <c r="B1076" s="14">
        <v>53</v>
      </c>
      <c r="C1076" s="8" t="s">
        <v>1744</v>
      </c>
      <c r="D1076" s="28" t="s">
        <v>425</v>
      </c>
      <c r="E1076" s="12" t="s">
        <v>426</v>
      </c>
      <c r="F1076" s="1"/>
      <c r="G1076" s="1">
        <v>4.468</v>
      </c>
      <c r="H1076" s="1">
        <v>6.0000000000000001E-3</v>
      </c>
      <c r="I1076" s="12">
        <f t="shared" si="331"/>
        <v>4.4740000000000002</v>
      </c>
      <c r="J1076" s="12">
        <v>2998.096</v>
      </c>
      <c r="K1076" s="12"/>
      <c r="L1076" s="12">
        <f t="shared" si="332"/>
        <v>2998.096</v>
      </c>
      <c r="M1076" s="12">
        <f t="shared" si="323"/>
        <v>670.11533303531507</v>
      </c>
      <c r="N1076" s="12" t="e">
        <f t="shared" si="333"/>
        <v>#REF!</v>
      </c>
      <c r="O1076" s="12" t="e">
        <f t="shared" si="334"/>
        <v>#REF!</v>
      </c>
      <c r="P1076" s="12" t="e">
        <f t="shared" si="335"/>
        <v>#REF!</v>
      </c>
    </row>
    <row r="1077" spans="1:16" ht="15.75" hidden="1" x14ac:dyDescent="0.25">
      <c r="A1077" s="14">
        <v>19</v>
      </c>
      <c r="B1077" s="14">
        <v>54</v>
      </c>
      <c r="C1077" s="8" t="s">
        <v>1744</v>
      </c>
      <c r="D1077" s="28" t="s">
        <v>427</v>
      </c>
      <c r="E1077" s="12" t="s">
        <v>428</v>
      </c>
      <c r="F1077" s="1"/>
      <c r="G1077" s="1">
        <v>3.8159999999999998</v>
      </c>
      <c r="H1077" s="1">
        <v>6.0000000000000001E-3</v>
      </c>
      <c r="I1077" s="12">
        <f t="shared" si="331"/>
        <v>3.8219999999999996</v>
      </c>
      <c r="J1077" s="12">
        <v>4470.4539999999997</v>
      </c>
      <c r="K1077" s="12"/>
      <c r="L1077" s="12">
        <f t="shared" si="332"/>
        <v>4470.4539999999997</v>
      </c>
      <c r="M1077" s="12">
        <f t="shared" si="323"/>
        <v>1169.6635269492413</v>
      </c>
      <c r="N1077" s="12" t="e">
        <f t="shared" si="333"/>
        <v>#REF!</v>
      </c>
      <c r="O1077" s="12" t="e">
        <f t="shared" si="334"/>
        <v>#REF!</v>
      </c>
      <c r="P1077" s="12" t="e">
        <f t="shared" si="335"/>
        <v>#REF!</v>
      </c>
    </row>
    <row r="1078" spans="1:16" ht="15.75" hidden="1" x14ac:dyDescent="0.25">
      <c r="A1078" s="14">
        <v>19</v>
      </c>
      <c r="B1078" s="14">
        <v>55</v>
      </c>
      <c r="C1078" s="8" t="s">
        <v>1744</v>
      </c>
      <c r="D1078" s="28" t="s">
        <v>429</v>
      </c>
      <c r="E1078" s="12" t="s">
        <v>430</v>
      </c>
      <c r="F1078" s="1"/>
      <c r="G1078" s="1">
        <v>2.4180000000000001</v>
      </c>
      <c r="H1078" s="1">
        <v>0</v>
      </c>
      <c r="I1078" s="12">
        <f t="shared" si="331"/>
        <v>2.4180000000000001</v>
      </c>
      <c r="J1078" s="12">
        <v>848.85799999999995</v>
      </c>
      <c r="K1078" s="12"/>
      <c r="L1078" s="12">
        <f t="shared" si="332"/>
        <v>848.85799999999995</v>
      </c>
      <c r="M1078" s="12">
        <f t="shared" si="323"/>
        <v>351.05789909015709</v>
      </c>
      <c r="N1078" s="12" t="e">
        <f t="shared" si="333"/>
        <v>#REF!</v>
      </c>
      <c r="O1078" s="12" t="e">
        <f t="shared" si="334"/>
        <v>#REF!</v>
      </c>
      <c r="P1078" s="12" t="e">
        <f t="shared" si="335"/>
        <v>#REF!</v>
      </c>
    </row>
    <row r="1079" spans="1:16" ht="15.75" hidden="1" x14ac:dyDescent="0.25">
      <c r="A1079" s="14">
        <v>19</v>
      </c>
      <c r="B1079" s="14">
        <v>56</v>
      </c>
      <c r="C1079" s="8" t="s">
        <v>1744</v>
      </c>
      <c r="D1079" s="28" t="s">
        <v>431</v>
      </c>
      <c r="E1079" s="12" t="s">
        <v>432</v>
      </c>
      <c r="F1079" s="1"/>
      <c r="G1079" s="1">
        <v>5.3760000000000003</v>
      </c>
      <c r="H1079" s="1">
        <v>1.0999999999999999E-2</v>
      </c>
      <c r="I1079" s="12">
        <f t="shared" si="331"/>
        <v>5.3870000000000005</v>
      </c>
      <c r="J1079" s="12">
        <v>1388.7950000000001</v>
      </c>
      <c r="K1079" s="12"/>
      <c r="L1079" s="12">
        <f t="shared" si="332"/>
        <v>1388.7950000000001</v>
      </c>
      <c r="M1079" s="12">
        <f t="shared" si="323"/>
        <v>257.80490068683866</v>
      </c>
      <c r="N1079" s="12" t="e">
        <f t="shared" si="333"/>
        <v>#REF!</v>
      </c>
      <c r="O1079" s="12" t="e">
        <f t="shared" si="334"/>
        <v>#REF!</v>
      </c>
      <c r="P1079" s="12" t="e">
        <f t="shared" si="335"/>
        <v>#REF!</v>
      </c>
    </row>
    <row r="1080" spans="1:16" ht="15.75" hidden="1" x14ac:dyDescent="0.25">
      <c r="A1080" s="14">
        <v>19</v>
      </c>
      <c r="B1080" s="14">
        <v>57</v>
      </c>
      <c r="C1080" s="8" t="s">
        <v>1744</v>
      </c>
      <c r="D1080" s="28" t="s">
        <v>433</v>
      </c>
      <c r="E1080" s="12" t="s">
        <v>434</v>
      </c>
      <c r="F1080" s="1"/>
      <c r="G1080" s="1">
        <v>2.194</v>
      </c>
      <c r="H1080" s="1">
        <v>3.0000000000000001E-3</v>
      </c>
      <c r="I1080" s="12">
        <f t="shared" si="331"/>
        <v>2.1970000000000001</v>
      </c>
      <c r="J1080" s="12">
        <v>1030.663</v>
      </c>
      <c r="K1080" s="12"/>
      <c r="L1080" s="12">
        <f t="shared" si="332"/>
        <v>1030.663</v>
      </c>
      <c r="M1080" s="12">
        <f t="shared" si="323"/>
        <v>469.12289485662268</v>
      </c>
      <c r="N1080" s="12" t="e">
        <f t="shared" si="333"/>
        <v>#REF!</v>
      </c>
      <c r="O1080" s="12" t="e">
        <f t="shared" si="334"/>
        <v>#REF!</v>
      </c>
      <c r="P1080" s="12" t="e">
        <f t="shared" si="335"/>
        <v>#REF!</v>
      </c>
    </row>
    <row r="1081" spans="1:16" ht="15.75" hidden="1" x14ac:dyDescent="0.25">
      <c r="A1081" s="49">
        <v>19</v>
      </c>
      <c r="B1081" s="49">
        <v>58</v>
      </c>
      <c r="C1081" s="50" t="s">
        <v>1744</v>
      </c>
      <c r="D1081" s="51" t="s">
        <v>901</v>
      </c>
      <c r="E1081" s="52" t="s">
        <v>902</v>
      </c>
      <c r="F1081" s="53"/>
      <c r="G1081" s="53">
        <v>2.5329999999999999</v>
      </c>
      <c r="H1081" s="53">
        <v>0</v>
      </c>
      <c r="I1081" s="12">
        <f t="shared" si="331"/>
        <v>2.5329999999999999</v>
      </c>
      <c r="J1081" s="52">
        <v>1369.3</v>
      </c>
      <c r="K1081" s="52"/>
      <c r="L1081" s="52">
        <f t="shared" si="332"/>
        <v>1369.3</v>
      </c>
      <c r="M1081" s="52">
        <f t="shared" si="323"/>
        <v>540.58428740623765</v>
      </c>
      <c r="N1081" s="12" t="e">
        <f t="shared" si="333"/>
        <v>#REF!</v>
      </c>
      <c r="O1081" s="12" t="e">
        <f t="shared" si="334"/>
        <v>#REF!</v>
      </c>
      <c r="P1081" s="12" t="e">
        <f t="shared" si="335"/>
        <v>#REF!</v>
      </c>
    </row>
    <row r="1082" spans="1:16" ht="15.75" hidden="1" x14ac:dyDescent="0.25">
      <c r="A1082" s="49">
        <v>19</v>
      </c>
      <c r="B1082" s="49">
        <v>59</v>
      </c>
      <c r="C1082" s="50" t="s">
        <v>1744</v>
      </c>
      <c r="D1082" s="51" t="s">
        <v>903</v>
      </c>
      <c r="E1082" s="52" t="s">
        <v>904</v>
      </c>
      <c r="F1082" s="53"/>
      <c r="G1082" s="53">
        <v>12.657999999999999</v>
      </c>
      <c r="H1082" s="53">
        <v>3.3000000000000002E-2</v>
      </c>
      <c r="I1082" s="12">
        <f t="shared" si="331"/>
        <v>12.690999999999999</v>
      </c>
      <c r="J1082" s="52">
        <v>9709.9</v>
      </c>
      <c r="K1082" s="52"/>
      <c r="L1082" s="52">
        <f t="shared" si="332"/>
        <v>9709.9</v>
      </c>
      <c r="M1082" s="52">
        <f t="shared" si="323"/>
        <v>765.1012528563549</v>
      </c>
      <c r="N1082" s="12" t="e">
        <f t="shared" si="333"/>
        <v>#REF!</v>
      </c>
      <c r="O1082" s="12" t="e">
        <f t="shared" si="334"/>
        <v>#REF!</v>
      </c>
      <c r="P1082" s="12" t="e">
        <f t="shared" si="335"/>
        <v>#REF!</v>
      </c>
    </row>
    <row r="1083" spans="1:16" ht="31.5" hidden="1" x14ac:dyDescent="0.25">
      <c r="A1083" s="49">
        <v>19</v>
      </c>
      <c r="B1083" s="49">
        <v>60</v>
      </c>
      <c r="C1083" s="50" t="s">
        <v>1744</v>
      </c>
      <c r="D1083" s="51" t="s">
        <v>905</v>
      </c>
      <c r="E1083" s="52" t="s">
        <v>906</v>
      </c>
      <c r="F1083" s="53"/>
      <c r="G1083" s="53">
        <v>14.246</v>
      </c>
      <c r="H1083" s="53">
        <v>0.01</v>
      </c>
      <c r="I1083" s="12">
        <f t="shared" si="331"/>
        <v>14.256</v>
      </c>
      <c r="J1083" s="52">
        <f>6966.2+300.9</f>
        <v>7267.0999999999995</v>
      </c>
      <c r="K1083" s="52"/>
      <c r="L1083" s="52">
        <f t="shared" si="332"/>
        <v>7267.0999999999995</v>
      </c>
      <c r="M1083" s="52">
        <f t="shared" si="323"/>
        <v>509.75729517396178</v>
      </c>
      <c r="N1083" s="12" t="e">
        <f t="shared" si="333"/>
        <v>#REF!</v>
      </c>
      <c r="O1083" s="12" t="e">
        <f t="shared" si="334"/>
        <v>#REF!</v>
      </c>
      <c r="P1083" s="12" t="e">
        <f t="shared" si="335"/>
        <v>#REF!</v>
      </c>
    </row>
    <row r="1084" spans="1:16" ht="15.75" hidden="1" x14ac:dyDescent="0.25">
      <c r="A1084" s="49">
        <v>19</v>
      </c>
      <c r="B1084" s="49">
        <v>61</v>
      </c>
      <c r="C1084" s="50" t="s">
        <v>1744</v>
      </c>
      <c r="D1084" s="51" t="s">
        <v>907</v>
      </c>
      <c r="E1084" s="52" t="s">
        <v>908</v>
      </c>
      <c r="F1084" s="53"/>
      <c r="G1084" s="53">
        <v>16.163</v>
      </c>
      <c r="H1084" s="53">
        <v>8.0000000000000002E-3</v>
      </c>
      <c r="I1084" s="12">
        <f t="shared" si="331"/>
        <v>16.170999999999999</v>
      </c>
      <c r="J1084" s="52">
        <f>13171.3+588</f>
        <v>13759.3</v>
      </c>
      <c r="K1084" s="52"/>
      <c r="L1084" s="52">
        <f t="shared" si="332"/>
        <v>13759.3</v>
      </c>
      <c r="M1084" s="52">
        <f t="shared" si="323"/>
        <v>850.86265537072541</v>
      </c>
      <c r="N1084" s="12" t="e">
        <f t="shared" si="333"/>
        <v>#REF!</v>
      </c>
      <c r="O1084" s="12" t="e">
        <f t="shared" si="334"/>
        <v>#REF!</v>
      </c>
      <c r="P1084" s="12" t="e">
        <f t="shared" si="335"/>
        <v>#REF!</v>
      </c>
    </row>
    <row r="1085" spans="1:16" s="75" customFormat="1" ht="15.75" hidden="1" x14ac:dyDescent="0.25">
      <c r="A1085" s="72">
        <v>20</v>
      </c>
      <c r="B1085" s="72" t="s">
        <v>1126</v>
      </c>
      <c r="C1085" s="73" t="s">
        <v>1161</v>
      </c>
      <c r="D1085" s="74"/>
      <c r="E1085" s="71" t="s">
        <v>1624</v>
      </c>
      <c r="F1085" s="76"/>
      <c r="G1085" s="71">
        <f t="shared" ref="G1085:L1085" si="336">G1086+G1087+G1095+G1123</f>
        <v>2701.1880000000001</v>
      </c>
      <c r="H1085" s="71">
        <f t="shared" si="336"/>
        <v>168.77900000000002</v>
      </c>
      <c r="I1085" s="71">
        <f t="shared" si="336"/>
        <v>2869.9670000000001</v>
      </c>
      <c r="J1085" s="71">
        <f t="shared" si="336"/>
        <v>4463408.47</v>
      </c>
      <c r="K1085" s="71">
        <f t="shared" si="336"/>
        <v>-792.39419999999996</v>
      </c>
      <c r="L1085" s="71">
        <f t="shared" si="336"/>
        <v>4462616.0757999998</v>
      </c>
      <c r="M1085" s="71">
        <f>L1085/I1085</f>
        <v>1554.9363723694382</v>
      </c>
      <c r="N1085" s="71" t="e">
        <f>M1085/$M$1429</f>
        <v>#REF!</v>
      </c>
      <c r="O1085" s="71" t="e">
        <f>O1086+O1087+O1095+O1123</f>
        <v>#REF!</v>
      </c>
      <c r="P1085" s="71" t="e">
        <f>P1086+P1087+P1095+P1123</f>
        <v>#REF!</v>
      </c>
    </row>
    <row r="1086" spans="1:16" ht="15.75" hidden="1" x14ac:dyDescent="0.25">
      <c r="A1086" s="14">
        <v>20</v>
      </c>
      <c r="B1086" s="14" t="s">
        <v>1126</v>
      </c>
      <c r="C1086" s="8" t="s">
        <v>1159</v>
      </c>
      <c r="D1086" s="28" t="s">
        <v>2421</v>
      </c>
      <c r="E1086" s="12" t="s">
        <v>1160</v>
      </c>
      <c r="F1086" s="1"/>
      <c r="G1086" s="1">
        <v>0</v>
      </c>
      <c r="H1086" s="1">
        <v>0</v>
      </c>
      <c r="I1086" s="12">
        <f>H1086+G1086</f>
        <v>0</v>
      </c>
      <c r="J1086" s="12"/>
      <c r="K1086" s="12"/>
      <c r="L1086" s="12"/>
      <c r="M1086" s="12"/>
      <c r="N1086" s="12"/>
      <c r="O1086" s="12"/>
      <c r="P1086" s="12"/>
    </row>
    <row r="1087" spans="1:16" ht="15.75" hidden="1" x14ac:dyDescent="0.25">
      <c r="A1087" s="15">
        <v>20</v>
      </c>
      <c r="B1087" s="15" t="s">
        <v>1126</v>
      </c>
      <c r="C1087" s="10" t="s">
        <v>1127</v>
      </c>
      <c r="D1087" s="29"/>
      <c r="E1087" s="37" t="s">
        <v>1128</v>
      </c>
      <c r="F1087" s="6"/>
      <c r="G1087" s="37">
        <f t="shared" ref="G1087:L1087" si="337">SUM(G1088:G1094)</f>
        <v>1698.2629999999999</v>
      </c>
      <c r="H1087" s="37">
        <f>SUM(H1088:H1094)</f>
        <v>124.53400000000001</v>
      </c>
      <c r="I1087" s="37">
        <f t="shared" si="337"/>
        <v>1822.797</v>
      </c>
      <c r="J1087" s="37">
        <f t="shared" si="337"/>
        <v>3243316.3459999999</v>
      </c>
      <c r="K1087" s="37">
        <f t="shared" si="337"/>
        <v>-792.39419999999996</v>
      </c>
      <c r="L1087" s="37">
        <f t="shared" si="337"/>
        <v>3242523.9517999999</v>
      </c>
      <c r="M1087" s="37">
        <f t="shared" ref="M1087:M1135" si="338">L1087/I1087</f>
        <v>1778.8727717897275</v>
      </c>
      <c r="N1087" s="37" t="e">
        <f>M1087/$M$1429</f>
        <v>#REF!</v>
      </c>
      <c r="O1087" s="37" t="e">
        <f>SUM(O1088:O1094)</f>
        <v>#REF!</v>
      </c>
      <c r="P1087" s="37" t="e">
        <f>SUM(P1088:P1094)</f>
        <v>#REF!</v>
      </c>
    </row>
    <row r="1088" spans="1:16" ht="15.75" hidden="1" x14ac:dyDescent="0.25">
      <c r="A1088" s="14">
        <v>20</v>
      </c>
      <c r="B1088" s="14" t="s">
        <v>1811</v>
      </c>
      <c r="C1088" s="8" t="s">
        <v>1119</v>
      </c>
      <c r="D1088" s="28" t="s">
        <v>2422</v>
      </c>
      <c r="E1088" s="12" t="s">
        <v>1592</v>
      </c>
      <c r="F1088" s="1"/>
      <c r="G1088" s="1">
        <v>1439.0360000000001</v>
      </c>
      <c r="H1088" s="1">
        <v>106.099</v>
      </c>
      <c r="I1088" s="12">
        <f t="shared" ref="I1088:I1094" si="339">H1088+G1088</f>
        <v>1545.135</v>
      </c>
      <c r="J1088" s="12">
        <v>2895002.5780000002</v>
      </c>
      <c r="K1088" s="12">
        <f>-1320.657*0.6</f>
        <v>-792.39419999999996</v>
      </c>
      <c r="L1088" s="12">
        <f t="shared" ref="L1088:L1094" si="340">J1088+K1088</f>
        <v>2894210.1838000002</v>
      </c>
      <c r="M1088" s="12">
        <f t="shared" si="338"/>
        <v>1873.1115299310418</v>
      </c>
      <c r="N1088" s="12" t="e">
        <f t="shared" ref="N1088:N1094" si="341">M1088/$M$1431</f>
        <v>#REF!</v>
      </c>
      <c r="O1088" s="12" t="e">
        <f t="shared" ref="O1088:O1094" si="342">ROUND(IF(N1088&lt;110%,0,(M1088-$M$1431*1.1)*0.8)*I1088,1)</f>
        <v>#REF!</v>
      </c>
      <c r="P1088" s="12" t="e">
        <f t="shared" ref="P1088:P1094" si="343">ROUND(IF(N1088&gt;90%,0,(-M1088+$M$1431*0.9)*0.8)*I1088,1)</f>
        <v>#REF!</v>
      </c>
    </row>
    <row r="1089" spans="1:16" ht="15.75" hidden="1" x14ac:dyDescent="0.25">
      <c r="A1089" s="14">
        <v>20</v>
      </c>
      <c r="B1089" s="14" t="s">
        <v>1810</v>
      </c>
      <c r="C1089" s="8" t="s">
        <v>1119</v>
      </c>
      <c r="D1089" s="28" t="s">
        <v>2423</v>
      </c>
      <c r="E1089" s="12" t="s">
        <v>1593</v>
      </c>
      <c r="F1089" s="1"/>
      <c r="G1089" s="1">
        <v>49.37</v>
      </c>
      <c r="H1089" s="1">
        <v>6.3310000000000004</v>
      </c>
      <c r="I1089" s="12">
        <f t="shared" si="339"/>
        <v>55.701000000000001</v>
      </c>
      <c r="J1089" s="12">
        <v>38070.345999999998</v>
      </c>
      <c r="K1089" s="12"/>
      <c r="L1089" s="12">
        <f t="shared" si="340"/>
        <v>38070.345999999998</v>
      </c>
      <c r="M1089" s="12">
        <f t="shared" si="338"/>
        <v>683.47688551372505</v>
      </c>
      <c r="N1089" s="12" t="e">
        <f t="shared" si="341"/>
        <v>#REF!</v>
      </c>
      <c r="O1089" s="12" t="e">
        <f t="shared" si="342"/>
        <v>#REF!</v>
      </c>
      <c r="P1089" s="12" t="e">
        <f t="shared" si="343"/>
        <v>#REF!</v>
      </c>
    </row>
    <row r="1090" spans="1:16" ht="15.75" hidden="1" x14ac:dyDescent="0.25">
      <c r="A1090" s="14">
        <v>20</v>
      </c>
      <c r="B1090" s="14" t="s">
        <v>1850</v>
      </c>
      <c r="C1090" s="8" t="s">
        <v>1119</v>
      </c>
      <c r="D1090" s="28" t="s">
        <v>2424</v>
      </c>
      <c r="E1090" s="12" t="s">
        <v>1594</v>
      </c>
      <c r="F1090" s="1"/>
      <c r="G1090" s="1">
        <v>56.454000000000001</v>
      </c>
      <c r="H1090" s="1">
        <v>4.4139999999999997</v>
      </c>
      <c r="I1090" s="12">
        <f t="shared" si="339"/>
        <v>60.868000000000002</v>
      </c>
      <c r="J1090" s="12">
        <v>85791.8</v>
      </c>
      <c r="K1090" s="12"/>
      <c r="L1090" s="12">
        <f t="shared" si="340"/>
        <v>85791.8</v>
      </c>
      <c r="M1090" s="12">
        <f t="shared" si="338"/>
        <v>1409.4729578760596</v>
      </c>
      <c r="N1090" s="12" t="e">
        <f t="shared" si="341"/>
        <v>#REF!</v>
      </c>
      <c r="O1090" s="12" t="e">
        <f t="shared" si="342"/>
        <v>#REF!</v>
      </c>
      <c r="P1090" s="12" t="e">
        <f t="shared" si="343"/>
        <v>#REF!</v>
      </c>
    </row>
    <row r="1091" spans="1:16" ht="15.75" hidden="1" x14ac:dyDescent="0.25">
      <c r="A1091" s="14">
        <v>20</v>
      </c>
      <c r="B1091" s="14" t="s">
        <v>1855</v>
      </c>
      <c r="C1091" s="8" t="s">
        <v>1119</v>
      </c>
      <c r="D1091" s="28" t="s">
        <v>2425</v>
      </c>
      <c r="E1091" s="12" t="s">
        <v>1595</v>
      </c>
      <c r="F1091" s="1"/>
      <c r="G1091" s="1">
        <v>65.56</v>
      </c>
      <c r="H1091" s="1">
        <v>1.4019999999999999</v>
      </c>
      <c r="I1091" s="12">
        <f t="shared" si="339"/>
        <v>66.962000000000003</v>
      </c>
      <c r="J1091" s="12">
        <v>91667.282999999996</v>
      </c>
      <c r="K1091" s="12"/>
      <c r="L1091" s="12">
        <f t="shared" si="340"/>
        <v>91667.282999999996</v>
      </c>
      <c r="M1091" s="12">
        <f t="shared" si="338"/>
        <v>1368.944819449837</v>
      </c>
      <c r="N1091" s="12" t="e">
        <f t="shared" si="341"/>
        <v>#REF!</v>
      </c>
      <c r="O1091" s="12" t="e">
        <f t="shared" si="342"/>
        <v>#REF!</v>
      </c>
      <c r="P1091" s="12" t="e">
        <f t="shared" si="343"/>
        <v>#REF!</v>
      </c>
    </row>
    <row r="1092" spans="1:16" ht="15.75" hidden="1" x14ac:dyDescent="0.25">
      <c r="A1092" s="14">
        <v>20</v>
      </c>
      <c r="B1092" s="14" t="s">
        <v>1818</v>
      </c>
      <c r="C1092" s="8" t="s">
        <v>1119</v>
      </c>
      <c r="D1092" s="28" t="s">
        <v>2426</v>
      </c>
      <c r="E1092" s="12" t="s">
        <v>1596</v>
      </c>
      <c r="F1092" s="1"/>
      <c r="G1092" s="1">
        <v>24.16</v>
      </c>
      <c r="H1092" s="1">
        <v>0.59199999999999997</v>
      </c>
      <c r="I1092" s="12">
        <f t="shared" si="339"/>
        <v>24.751999999999999</v>
      </c>
      <c r="J1092" s="12">
        <v>25024.292000000001</v>
      </c>
      <c r="K1092" s="12"/>
      <c r="L1092" s="12">
        <f t="shared" si="340"/>
        <v>25024.292000000001</v>
      </c>
      <c r="M1092" s="12">
        <f t="shared" si="338"/>
        <v>1011.0008080155139</v>
      </c>
      <c r="N1092" s="12" t="e">
        <f t="shared" si="341"/>
        <v>#REF!</v>
      </c>
      <c r="O1092" s="12" t="e">
        <f t="shared" si="342"/>
        <v>#REF!</v>
      </c>
      <c r="P1092" s="12" t="e">
        <f t="shared" si="343"/>
        <v>#REF!</v>
      </c>
    </row>
    <row r="1093" spans="1:16" ht="15.75" hidden="1" x14ac:dyDescent="0.25">
      <c r="A1093" s="14">
        <v>20</v>
      </c>
      <c r="B1093" s="14" t="s">
        <v>1820</v>
      </c>
      <c r="C1093" s="8" t="s">
        <v>1119</v>
      </c>
      <c r="D1093" s="28" t="s">
        <v>2427</v>
      </c>
      <c r="E1093" s="12" t="s">
        <v>1597</v>
      </c>
      <c r="F1093" s="1"/>
      <c r="G1093" s="1">
        <v>30.388999999999999</v>
      </c>
      <c r="H1093" s="1">
        <v>0.67600000000000005</v>
      </c>
      <c r="I1093" s="12">
        <f t="shared" si="339"/>
        <v>31.064999999999998</v>
      </c>
      <c r="J1093" s="12">
        <v>24161.332999999999</v>
      </c>
      <c r="K1093" s="12"/>
      <c r="L1093" s="12">
        <f t="shared" si="340"/>
        <v>24161.332999999999</v>
      </c>
      <c r="M1093" s="12">
        <f t="shared" si="338"/>
        <v>777.76703685820053</v>
      </c>
      <c r="N1093" s="12" t="e">
        <f t="shared" si="341"/>
        <v>#REF!</v>
      </c>
      <c r="O1093" s="12" t="e">
        <f t="shared" si="342"/>
        <v>#REF!</v>
      </c>
      <c r="P1093" s="12" t="e">
        <f t="shared" si="343"/>
        <v>#REF!</v>
      </c>
    </row>
    <row r="1094" spans="1:16" ht="15.75" hidden="1" x14ac:dyDescent="0.25">
      <c r="A1094" s="14">
        <v>20</v>
      </c>
      <c r="B1094" s="14" t="s">
        <v>1822</v>
      </c>
      <c r="C1094" s="8" t="s">
        <v>1119</v>
      </c>
      <c r="D1094" s="28" t="s">
        <v>2428</v>
      </c>
      <c r="E1094" s="12" t="s">
        <v>1598</v>
      </c>
      <c r="F1094" s="1"/>
      <c r="G1094" s="1">
        <v>33.293999999999997</v>
      </c>
      <c r="H1094" s="1">
        <v>5.0199999999999996</v>
      </c>
      <c r="I1094" s="12">
        <f t="shared" si="339"/>
        <v>38.313999999999993</v>
      </c>
      <c r="J1094" s="12">
        <v>83598.714000000007</v>
      </c>
      <c r="K1094" s="12"/>
      <c r="L1094" s="12">
        <f t="shared" si="340"/>
        <v>83598.714000000007</v>
      </c>
      <c r="M1094" s="12">
        <f t="shared" si="338"/>
        <v>2181.9364723077733</v>
      </c>
      <c r="N1094" s="12" t="e">
        <f t="shared" si="341"/>
        <v>#REF!</v>
      </c>
      <c r="O1094" s="12" t="e">
        <f t="shared" si="342"/>
        <v>#REF!</v>
      </c>
      <c r="P1094" s="12" t="e">
        <f t="shared" si="343"/>
        <v>#REF!</v>
      </c>
    </row>
    <row r="1095" spans="1:16" ht="15.75" hidden="1" x14ac:dyDescent="0.25">
      <c r="A1095" s="15">
        <v>20</v>
      </c>
      <c r="B1095" s="15" t="s">
        <v>1126</v>
      </c>
      <c r="C1095" s="10" t="s">
        <v>1157</v>
      </c>
      <c r="D1095" s="29"/>
      <c r="E1095" s="37" t="s">
        <v>1158</v>
      </c>
      <c r="F1095" s="6"/>
      <c r="G1095" s="37">
        <f t="shared" ref="G1095:L1095" si="344">SUM(G1096:G1122)</f>
        <v>849.88400000000001</v>
      </c>
      <c r="H1095" s="37">
        <f>SUM(H1096:H1122)</f>
        <v>36.589000000000006</v>
      </c>
      <c r="I1095" s="37">
        <f t="shared" si="344"/>
        <v>886.47300000000007</v>
      </c>
      <c r="J1095" s="37">
        <f t="shared" si="344"/>
        <v>1006698.041</v>
      </c>
      <c r="K1095" s="37">
        <f t="shared" si="344"/>
        <v>0</v>
      </c>
      <c r="L1095" s="37">
        <f t="shared" si="344"/>
        <v>1006698.041</v>
      </c>
      <c r="M1095" s="37">
        <f t="shared" si="338"/>
        <v>1135.6217741544299</v>
      </c>
      <c r="N1095" s="37" t="e">
        <f>M1095/$M$1429</f>
        <v>#REF!</v>
      </c>
      <c r="O1095" s="37" t="e">
        <f>SUM(O1096:O1122)</f>
        <v>#REF!</v>
      </c>
      <c r="P1095" s="37" t="e">
        <f>SUM(P1096:P1122)</f>
        <v>#REF!</v>
      </c>
    </row>
    <row r="1096" spans="1:16" ht="15.75" hidden="1" x14ac:dyDescent="0.25">
      <c r="A1096" s="14">
        <v>20</v>
      </c>
      <c r="B1096" s="14" t="s">
        <v>1824</v>
      </c>
      <c r="C1096" s="8" t="s">
        <v>1129</v>
      </c>
      <c r="D1096" s="28" t="s">
        <v>2429</v>
      </c>
      <c r="E1096" s="12" t="s">
        <v>1599</v>
      </c>
      <c r="F1096" s="1"/>
      <c r="G1096" s="1">
        <v>81.909000000000006</v>
      </c>
      <c r="H1096" s="1">
        <v>10.65</v>
      </c>
      <c r="I1096" s="12">
        <f t="shared" ref="I1096:I1122" si="345">H1096+G1096</f>
        <v>92.559000000000012</v>
      </c>
      <c r="J1096" s="12">
        <v>148448.00200000001</v>
      </c>
      <c r="K1096" s="12"/>
      <c r="L1096" s="12">
        <f t="shared" ref="L1096:L1122" si="346">J1096+K1096</f>
        <v>148448.00200000001</v>
      </c>
      <c r="M1096" s="12">
        <f t="shared" si="338"/>
        <v>1603.8202876003413</v>
      </c>
      <c r="N1096" s="12" t="e">
        <f t="shared" ref="N1096:N1122" si="347">M1096/$M$1432</f>
        <v>#REF!</v>
      </c>
      <c r="O1096" s="12" t="e">
        <f t="shared" ref="O1096:O1122" si="348">ROUND(IF(N1096&lt;110%,0,(M1096-$M$1432*1.1)*0.8)*I1096,1)</f>
        <v>#REF!</v>
      </c>
      <c r="P1096" s="12" t="e">
        <f t="shared" ref="P1096:P1122" si="349">ROUND(IF(N1096&gt;90%,0,(-M1096+$M$1432*0.9)*0.8)*I1096,1)</f>
        <v>#REF!</v>
      </c>
    </row>
    <row r="1097" spans="1:16" ht="15.75" hidden="1" x14ac:dyDescent="0.25">
      <c r="A1097" s="14">
        <v>20</v>
      </c>
      <c r="B1097" s="14" t="s">
        <v>1826</v>
      </c>
      <c r="C1097" s="8" t="s">
        <v>1129</v>
      </c>
      <c r="D1097" s="28" t="s">
        <v>2430</v>
      </c>
      <c r="E1097" s="12" t="s">
        <v>1600</v>
      </c>
      <c r="F1097" s="1"/>
      <c r="G1097" s="1">
        <v>21.423999999999999</v>
      </c>
      <c r="H1097" s="1">
        <v>2.6059999999999999</v>
      </c>
      <c r="I1097" s="12">
        <f t="shared" si="345"/>
        <v>24.03</v>
      </c>
      <c r="J1097" s="12">
        <v>24399.687000000002</v>
      </c>
      <c r="K1097" s="12"/>
      <c r="L1097" s="12">
        <f t="shared" si="346"/>
        <v>24399.687000000002</v>
      </c>
      <c r="M1097" s="12">
        <f t="shared" si="338"/>
        <v>1015.3843945068664</v>
      </c>
      <c r="N1097" s="12" t="e">
        <f t="shared" si="347"/>
        <v>#REF!</v>
      </c>
      <c r="O1097" s="12" t="e">
        <f t="shared" si="348"/>
        <v>#REF!</v>
      </c>
      <c r="P1097" s="12" t="e">
        <f t="shared" si="349"/>
        <v>#REF!</v>
      </c>
    </row>
    <row r="1098" spans="1:16" ht="15.75" hidden="1" x14ac:dyDescent="0.25">
      <c r="A1098" s="14">
        <v>20</v>
      </c>
      <c r="B1098" s="14">
        <v>10</v>
      </c>
      <c r="C1098" s="8" t="s">
        <v>1129</v>
      </c>
      <c r="D1098" s="28" t="s">
        <v>2431</v>
      </c>
      <c r="E1098" s="12" t="s">
        <v>1601</v>
      </c>
      <c r="F1098" s="1"/>
      <c r="G1098" s="1">
        <v>18.988</v>
      </c>
      <c r="H1098" s="1">
        <v>0.62</v>
      </c>
      <c r="I1098" s="12">
        <f t="shared" si="345"/>
        <v>19.608000000000001</v>
      </c>
      <c r="J1098" s="12">
        <v>22634.174999999999</v>
      </c>
      <c r="K1098" s="12"/>
      <c r="L1098" s="12">
        <f t="shared" si="346"/>
        <v>22634.174999999999</v>
      </c>
      <c r="M1098" s="12">
        <f t="shared" si="338"/>
        <v>1154.3336903304773</v>
      </c>
      <c r="N1098" s="12" t="e">
        <f t="shared" si="347"/>
        <v>#REF!</v>
      </c>
      <c r="O1098" s="12" t="e">
        <f t="shared" si="348"/>
        <v>#REF!</v>
      </c>
      <c r="P1098" s="12" t="e">
        <f t="shared" si="349"/>
        <v>#REF!</v>
      </c>
    </row>
    <row r="1099" spans="1:16" ht="15.75" hidden="1" x14ac:dyDescent="0.25">
      <c r="A1099" s="14">
        <v>20</v>
      </c>
      <c r="B1099" s="14">
        <v>11</v>
      </c>
      <c r="C1099" s="8" t="s">
        <v>1129</v>
      </c>
      <c r="D1099" s="28" t="s">
        <v>2432</v>
      </c>
      <c r="E1099" s="12" t="s">
        <v>1602</v>
      </c>
      <c r="F1099" s="1"/>
      <c r="G1099" s="1">
        <v>39.011000000000003</v>
      </c>
      <c r="H1099" s="1">
        <v>0.59099999999999997</v>
      </c>
      <c r="I1099" s="12">
        <f t="shared" si="345"/>
        <v>39.602000000000004</v>
      </c>
      <c r="J1099" s="12">
        <v>42084.898000000001</v>
      </c>
      <c r="K1099" s="12"/>
      <c r="L1099" s="12">
        <f t="shared" si="346"/>
        <v>42084.898000000001</v>
      </c>
      <c r="M1099" s="12">
        <f t="shared" si="338"/>
        <v>1062.6962779657592</v>
      </c>
      <c r="N1099" s="12" t="e">
        <f t="shared" si="347"/>
        <v>#REF!</v>
      </c>
      <c r="O1099" s="12" t="e">
        <f t="shared" si="348"/>
        <v>#REF!</v>
      </c>
      <c r="P1099" s="12" t="e">
        <f t="shared" si="349"/>
        <v>#REF!</v>
      </c>
    </row>
    <row r="1100" spans="1:16" ht="15.75" hidden="1" x14ac:dyDescent="0.25">
      <c r="A1100" s="14">
        <v>20</v>
      </c>
      <c r="B1100" s="14">
        <v>12</v>
      </c>
      <c r="C1100" s="8" t="s">
        <v>1129</v>
      </c>
      <c r="D1100" s="28" t="s">
        <v>2433</v>
      </c>
      <c r="E1100" s="12" t="s">
        <v>1603</v>
      </c>
      <c r="F1100" s="1"/>
      <c r="G1100" s="1">
        <v>16.858000000000001</v>
      </c>
      <c r="H1100" s="1">
        <v>3.0710000000000002</v>
      </c>
      <c r="I1100" s="12">
        <f t="shared" si="345"/>
        <v>19.929000000000002</v>
      </c>
      <c r="J1100" s="12">
        <v>19990.285</v>
      </c>
      <c r="K1100" s="12"/>
      <c r="L1100" s="12">
        <f t="shared" si="346"/>
        <v>19990.285</v>
      </c>
      <c r="M1100" s="12">
        <f t="shared" si="338"/>
        <v>1003.0751668422901</v>
      </c>
      <c r="N1100" s="12" t="e">
        <f t="shared" si="347"/>
        <v>#REF!</v>
      </c>
      <c r="O1100" s="12" t="e">
        <f t="shared" si="348"/>
        <v>#REF!</v>
      </c>
      <c r="P1100" s="12" t="e">
        <f t="shared" si="349"/>
        <v>#REF!</v>
      </c>
    </row>
    <row r="1101" spans="1:16" ht="15.75" hidden="1" x14ac:dyDescent="0.25">
      <c r="A1101" s="14">
        <v>20</v>
      </c>
      <c r="B1101" s="14">
        <v>13</v>
      </c>
      <c r="C1101" s="8" t="s">
        <v>1129</v>
      </c>
      <c r="D1101" s="28" t="s">
        <v>2434</v>
      </c>
      <c r="E1101" s="12" t="s">
        <v>1604</v>
      </c>
      <c r="F1101" s="1"/>
      <c r="G1101" s="1">
        <v>31.803000000000001</v>
      </c>
      <c r="H1101" s="1">
        <v>0.47299999999999998</v>
      </c>
      <c r="I1101" s="12">
        <f t="shared" si="345"/>
        <v>32.276000000000003</v>
      </c>
      <c r="J1101" s="12">
        <v>34923.423000000003</v>
      </c>
      <c r="K1101" s="12"/>
      <c r="L1101" s="12">
        <f t="shared" si="346"/>
        <v>34923.423000000003</v>
      </c>
      <c r="M1101" s="12">
        <f t="shared" si="338"/>
        <v>1082.0245073739002</v>
      </c>
      <c r="N1101" s="12" t="e">
        <f t="shared" si="347"/>
        <v>#REF!</v>
      </c>
      <c r="O1101" s="12" t="e">
        <f t="shared" si="348"/>
        <v>#REF!</v>
      </c>
      <c r="P1101" s="12" t="e">
        <f t="shared" si="349"/>
        <v>#REF!</v>
      </c>
    </row>
    <row r="1102" spans="1:16" ht="15.75" hidden="1" x14ac:dyDescent="0.25">
      <c r="A1102" s="14">
        <v>20</v>
      </c>
      <c r="B1102" s="14">
        <v>14</v>
      </c>
      <c r="C1102" s="8" t="s">
        <v>1129</v>
      </c>
      <c r="D1102" s="28" t="s">
        <v>2435</v>
      </c>
      <c r="E1102" s="12" t="s">
        <v>1605</v>
      </c>
      <c r="F1102" s="1"/>
      <c r="G1102" s="1">
        <v>22.42</v>
      </c>
      <c r="H1102" s="1">
        <v>0.35599999999999998</v>
      </c>
      <c r="I1102" s="12">
        <f t="shared" si="345"/>
        <v>22.776000000000003</v>
      </c>
      <c r="J1102" s="12">
        <v>30366.982</v>
      </c>
      <c r="K1102" s="12"/>
      <c r="L1102" s="12">
        <f t="shared" si="346"/>
        <v>30366.982</v>
      </c>
      <c r="M1102" s="12">
        <f t="shared" si="338"/>
        <v>1333.2886371619247</v>
      </c>
      <c r="N1102" s="12" t="e">
        <f t="shared" si="347"/>
        <v>#REF!</v>
      </c>
      <c r="O1102" s="12" t="e">
        <f t="shared" si="348"/>
        <v>#REF!</v>
      </c>
      <c r="P1102" s="12" t="e">
        <f t="shared" si="349"/>
        <v>#REF!</v>
      </c>
    </row>
    <row r="1103" spans="1:16" ht="15.75" hidden="1" x14ac:dyDescent="0.25">
      <c r="A1103" s="14">
        <v>20</v>
      </c>
      <c r="B1103" s="14">
        <v>15</v>
      </c>
      <c r="C1103" s="8" t="s">
        <v>1129</v>
      </c>
      <c r="D1103" s="28" t="s">
        <v>2436</v>
      </c>
      <c r="E1103" s="12" t="s">
        <v>1606</v>
      </c>
      <c r="F1103" s="1"/>
      <c r="G1103" s="1">
        <v>38.529000000000003</v>
      </c>
      <c r="H1103" s="1">
        <v>0.72299999999999998</v>
      </c>
      <c r="I1103" s="12">
        <f t="shared" si="345"/>
        <v>39.252000000000002</v>
      </c>
      <c r="J1103" s="12">
        <v>44990.476000000002</v>
      </c>
      <c r="K1103" s="12"/>
      <c r="L1103" s="12">
        <f t="shared" si="346"/>
        <v>44990.476000000002</v>
      </c>
      <c r="M1103" s="12">
        <f t="shared" si="338"/>
        <v>1146.1957607255681</v>
      </c>
      <c r="N1103" s="12" t="e">
        <f t="shared" si="347"/>
        <v>#REF!</v>
      </c>
      <c r="O1103" s="12" t="e">
        <f t="shared" si="348"/>
        <v>#REF!</v>
      </c>
      <c r="P1103" s="12" t="e">
        <f t="shared" si="349"/>
        <v>#REF!</v>
      </c>
    </row>
    <row r="1104" spans="1:16" ht="15.75" hidden="1" x14ac:dyDescent="0.25">
      <c r="A1104" s="14">
        <v>20</v>
      </c>
      <c r="B1104" s="14">
        <v>16</v>
      </c>
      <c r="C1104" s="8" t="s">
        <v>1129</v>
      </c>
      <c r="D1104" s="28" t="s">
        <v>2437</v>
      </c>
      <c r="E1104" s="12" t="s">
        <v>1607</v>
      </c>
      <c r="F1104" s="1"/>
      <c r="G1104" s="1">
        <v>17.594000000000001</v>
      </c>
      <c r="H1104" s="1">
        <v>0.58199999999999996</v>
      </c>
      <c r="I1104" s="12">
        <f t="shared" si="345"/>
        <v>18.176000000000002</v>
      </c>
      <c r="J1104" s="12">
        <v>22095.006000000001</v>
      </c>
      <c r="K1104" s="12"/>
      <c r="L1104" s="12">
        <f t="shared" si="346"/>
        <v>22095.006000000001</v>
      </c>
      <c r="M1104" s="12">
        <f t="shared" si="338"/>
        <v>1215.6143265845069</v>
      </c>
      <c r="N1104" s="12" t="e">
        <f t="shared" si="347"/>
        <v>#REF!</v>
      </c>
      <c r="O1104" s="12" t="e">
        <f t="shared" si="348"/>
        <v>#REF!</v>
      </c>
      <c r="P1104" s="12" t="e">
        <f t="shared" si="349"/>
        <v>#REF!</v>
      </c>
    </row>
    <row r="1105" spans="1:16" ht="15.75" hidden="1" x14ac:dyDescent="0.25">
      <c r="A1105" s="14">
        <v>20</v>
      </c>
      <c r="B1105" s="14">
        <v>17</v>
      </c>
      <c r="C1105" s="8" t="s">
        <v>1129</v>
      </c>
      <c r="D1105" s="28" t="s">
        <v>2438</v>
      </c>
      <c r="E1105" s="12" t="s">
        <v>1608</v>
      </c>
      <c r="F1105" s="1"/>
      <c r="G1105" s="1">
        <v>81.316000000000003</v>
      </c>
      <c r="H1105" s="1">
        <v>0.94</v>
      </c>
      <c r="I1105" s="12">
        <f t="shared" si="345"/>
        <v>82.256</v>
      </c>
      <c r="J1105" s="12">
        <f>103941.917-8279.504</f>
        <v>95662.413</v>
      </c>
      <c r="K1105" s="12"/>
      <c r="L1105" s="12">
        <f t="shared" si="346"/>
        <v>95662.413</v>
      </c>
      <c r="M1105" s="12">
        <f t="shared" si="338"/>
        <v>1162.984013324256</v>
      </c>
      <c r="N1105" s="12" t="e">
        <f t="shared" si="347"/>
        <v>#REF!</v>
      </c>
      <c r="O1105" s="12" t="e">
        <f t="shared" si="348"/>
        <v>#REF!</v>
      </c>
      <c r="P1105" s="12" t="e">
        <f t="shared" si="349"/>
        <v>#REF!</v>
      </c>
    </row>
    <row r="1106" spans="1:16" ht="15.75" hidden="1" x14ac:dyDescent="0.25">
      <c r="A1106" s="14">
        <v>20</v>
      </c>
      <c r="B1106" s="14">
        <v>18</v>
      </c>
      <c r="C1106" s="8" t="s">
        <v>1129</v>
      </c>
      <c r="D1106" s="28" t="s">
        <v>2439</v>
      </c>
      <c r="E1106" s="12" t="s">
        <v>1609</v>
      </c>
      <c r="F1106" s="1"/>
      <c r="G1106" s="1">
        <v>5.3280000000000003</v>
      </c>
      <c r="H1106" s="1">
        <v>0.10100000000000001</v>
      </c>
      <c r="I1106" s="12">
        <f t="shared" si="345"/>
        <v>5.4290000000000003</v>
      </c>
      <c r="J1106" s="12">
        <f>18036.114-12091.699</f>
        <v>5944.4150000000009</v>
      </c>
      <c r="K1106" s="12"/>
      <c r="L1106" s="12">
        <f t="shared" si="346"/>
        <v>5944.4150000000009</v>
      </c>
      <c r="M1106" s="12">
        <f t="shared" si="338"/>
        <v>1094.9373733652608</v>
      </c>
      <c r="N1106" s="12" t="e">
        <f t="shared" si="347"/>
        <v>#REF!</v>
      </c>
      <c r="O1106" s="12" t="e">
        <f t="shared" si="348"/>
        <v>#REF!</v>
      </c>
      <c r="P1106" s="12" t="e">
        <f t="shared" si="349"/>
        <v>#REF!</v>
      </c>
    </row>
    <row r="1107" spans="1:16" ht="15.75" hidden="1" x14ac:dyDescent="0.25">
      <c r="A1107" s="14">
        <v>20</v>
      </c>
      <c r="B1107" s="14">
        <v>19</v>
      </c>
      <c r="C1107" s="8" t="s">
        <v>1129</v>
      </c>
      <c r="D1107" s="28" t="s">
        <v>2440</v>
      </c>
      <c r="E1107" s="12" t="s">
        <v>1610</v>
      </c>
      <c r="F1107" s="1"/>
      <c r="G1107" s="1">
        <v>71.674000000000007</v>
      </c>
      <c r="H1107" s="1">
        <v>1.643</v>
      </c>
      <c r="I1107" s="12">
        <f t="shared" si="345"/>
        <v>73.317000000000007</v>
      </c>
      <c r="J1107" s="12">
        <v>72132.372000000003</v>
      </c>
      <c r="K1107" s="12"/>
      <c r="L1107" s="12">
        <f t="shared" si="346"/>
        <v>72132.372000000003</v>
      </c>
      <c r="M1107" s="12">
        <f t="shared" si="338"/>
        <v>983.84238307623059</v>
      </c>
      <c r="N1107" s="12" t="e">
        <f t="shared" si="347"/>
        <v>#REF!</v>
      </c>
      <c r="O1107" s="12" t="e">
        <f t="shared" si="348"/>
        <v>#REF!</v>
      </c>
      <c r="P1107" s="12" t="e">
        <f t="shared" si="349"/>
        <v>#REF!</v>
      </c>
    </row>
    <row r="1108" spans="1:16" ht="15.75" hidden="1" x14ac:dyDescent="0.25">
      <c r="A1108" s="14">
        <v>20</v>
      </c>
      <c r="B1108" s="14">
        <v>20</v>
      </c>
      <c r="C1108" s="8" t="s">
        <v>1129</v>
      </c>
      <c r="D1108" s="28" t="s">
        <v>2441</v>
      </c>
      <c r="E1108" s="12" t="s">
        <v>1439</v>
      </c>
      <c r="F1108" s="1"/>
      <c r="G1108" s="1">
        <v>0.64400000000000002</v>
      </c>
      <c r="H1108" s="1">
        <v>0.61799999999999999</v>
      </c>
      <c r="I1108" s="12">
        <f t="shared" si="345"/>
        <v>1.262</v>
      </c>
      <c r="J1108" s="12">
        <f>30167.891-29161.624</f>
        <v>1006.2669999999998</v>
      </c>
      <c r="K1108" s="12"/>
      <c r="L1108" s="12">
        <f t="shared" si="346"/>
        <v>1006.2669999999998</v>
      </c>
      <c r="M1108" s="12">
        <f t="shared" si="338"/>
        <v>797.35895404120424</v>
      </c>
      <c r="N1108" s="12" t="e">
        <f t="shared" si="347"/>
        <v>#REF!</v>
      </c>
      <c r="O1108" s="12" t="e">
        <f t="shared" si="348"/>
        <v>#REF!</v>
      </c>
      <c r="P1108" s="12" t="e">
        <f t="shared" si="349"/>
        <v>#REF!</v>
      </c>
    </row>
    <row r="1109" spans="1:16" ht="15.75" hidden="1" x14ac:dyDescent="0.25">
      <c r="A1109" s="14">
        <v>20</v>
      </c>
      <c r="B1109" s="14">
        <v>21</v>
      </c>
      <c r="C1109" s="8" t="s">
        <v>1129</v>
      </c>
      <c r="D1109" s="28" t="s">
        <v>2442</v>
      </c>
      <c r="E1109" s="12" t="s">
        <v>1611</v>
      </c>
      <c r="F1109" s="1"/>
      <c r="G1109" s="1">
        <v>11.265000000000001</v>
      </c>
      <c r="H1109" s="1">
        <v>1.5649999999999999</v>
      </c>
      <c r="I1109" s="12">
        <f t="shared" si="345"/>
        <v>12.83</v>
      </c>
      <c r="J1109" s="12">
        <f>26845.597-6370.209</f>
        <v>20475.388000000003</v>
      </c>
      <c r="K1109" s="12"/>
      <c r="L1109" s="12">
        <f t="shared" si="346"/>
        <v>20475.388000000003</v>
      </c>
      <c r="M1109" s="12">
        <f t="shared" si="338"/>
        <v>1595.899298519096</v>
      </c>
      <c r="N1109" s="12" t="e">
        <f t="shared" si="347"/>
        <v>#REF!</v>
      </c>
      <c r="O1109" s="12" t="e">
        <f t="shared" si="348"/>
        <v>#REF!</v>
      </c>
      <c r="P1109" s="12" t="e">
        <f t="shared" si="349"/>
        <v>#REF!</v>
      </c>
    </row>
    <row r="1110" spans="1:16" ht="15.75" hidden="1" x14ac:dyDescent="0.25">
      <c r="A1110" s="14">
        <v>20</v>
      </c>
      <c r="B1110" s="14">
        <v>22</v>
      </c>
      <c r="C1110" s="8" t="s">
        <v>1129</v>
      </c>
      <c r="D1110" s="28" t="s">
        <v>2443</v>
      </c>
      <c r="E1110" s="12" t="s">
        <v>1612</v>
      </c>
      <c r="F1110" s="1"/>
      <c r="G1110" s="1">
        <v>21.036999999999999</v>
      </c>
      <c r="H1110" s="1">
        <v>0.14399999999999999</v>
      </c>
      <c r="I1110" s="12">
        <f t="shared" si="345"/>
        <v>21.180999999999997</v>
      </c>
      <c r="J1110" s="12">
        <v>36983.004000000001</v>
      </c>
      <c r="K1110" s="12"/>
      <c r="L1110" s="12">
        <f t="shared" si="346"/>
        <v>36983.004000000001</v>
      </c>
      <c r="M1110" s="12">
        <f t="shared" si="338"/>
        <v>1746.0461734573441</v>
      </c>
      <c r="N1110" s="12" t="e">
        <f t="shared" si="347"/>
        <v>#REF!</v>
      </c>
      <c r="O1110" s="12" t="e">
        <f t="shared" si="348"/>
        <v>#REF!</v>
      </c>
      <c r="P1110" s="12" t="e">
        <f t="shared" si="349"/>
        <v>#REF!</v>
      </c>
    </row>
    <row r="1111" spans="1:16" ht="15.75" hidden="1" x14ac:dyDescent="0.25">
      <c r="A1111" s="14">
        <v>20</v>
      </c>
      <c r="B1111" s="14">
        <v>23</v>
      </c>
      <c r="C1111" s="8" t="s">
        <v>1129</v>
      </c>
      <c r="D1111" s="28" t="s">
        <v>2444</v>
      </c>
      <c r="E1111" s="12" t="s">
        <v>1613</v>
      </c>
      <c r="F1111" s="1"/>
      <c r="G1111" s="1">
        <v>0</v>
      </c>
      <c r="H1111" s="1">
        <v>0</v>
      </c>
      <c r="I1111" s="12">
        <f t="shared" si="345"/>
        <v>0</v>
      </c>
      <c r="J1111" s="12">
        <f>11157.63-11157.63</f>
        <v>0</v>
      </c>
      <c r="K1111" s="12"/>
      <c r="L1111" s="12"/>
      <c r="M1111" s="12"/>
      <c r="N1111" s="12"/>
      <c r="O1111" s="12"/>
      <c r="P1111" s="12"/>
    </row>
    <row r="1112" spans="1:16" ht="15.75" hidden="1" x14ac:dyDescent="0.25">
      <c r="A1112" s="14">
        <v>20</v>
      </c>
      <c r="B1112" s="14">
        <v>24</v>
      </c>
      <c r="C1112" s="8" t="s">
        <v>1129</v>
      </c>
      <c r="D1112" s="28" t="s">
        <v>2445</v>
      </c>
      <c r="E1112" s="12" t="s">
        <v>1614</v>
      </c>
      <c r="F1112" s="1"/>
      <c r="G1112" s="1">
        <v>38.142000000000003</v>
      </c>
      <c r="H1112" s="1">
        <v>0.502</v>
      </c>
      <c r="I1112" s="12">
        <f t="shared" si="345"/>
        <v>38.644000000000005</v>
      </c>
      <c r="J1112" s="12">
        <f>105590.796-41643.031</f>
        <v>63947.764999999999</v>
      </c>
      <c r="K1112" s="12"/>
      <c r="L1112" s="12">
        <f t="shared" si="346"/>
        <v>63947.764999999999</v>
      </c>
      <c r="M1112" s="12">
        <f t="shared" si="338"/>
        <v>1654.7915588448398</v>
      </c>
      <c r="N1112" s="12" t="e">
        <f t="shared" si="347"/>
        <v>#REF!</v>
      </c>
      <c r="O1112" s="12" t="e">
        <f t="shared" si="348"/>
        <v>#REF!</v>
      </c>
      <c r="P1112" s="12" t="e">
        <f t="shared" si="349"/>
        <v>#REF!</v>
      </c>
    </row>
    <row r="1113" spans="1:16" ht="15.75" hidden="1" x14ac:dyDescent="0.25">
      <c r="A1113" s="14">
        <v>20</v>
      </c>
      <c r="B1113" s="14">
        <v>25</v>
      </c>
      <c r="C1113" s="8" t="s">
        <v>1129</v>
      </c>
      <c r="D1113" s="28" t="s">
        <v>2446</v>
      </c>
      <c r="E1113" s="12" t="s">
        <v>1615</v>
      </c>
      <c r="F1113" s="1"/>
      <c r="G1113" s="1">
        <v>28.07</v>
      </c>
      <c r="H1113" s="1">
        <v>0.245</v>
      </c>
      <c r="I1113" s="12">
        <f t="shared" si="345"/>
        <v>28.315000000000001</v>
      </c>
      <c r="J1113" s="12">
        <v>31654.665000000001</v>
      </c>
      <c r="K1113" s="12"/>
      <c r="L1113" s="12">
        <f t="shared" si="346"/>
        <v>31654.665000000001</v>
      </c>
      <c r="M1113" s="12">
        <f t="shared" si="338"/>
        <v>1117.946847960445</v>
      </c>
      <c r="N1113" s="12" t="e">
        <f t="shared" si="347"/>
        <v>#REF!</v>
      </c>
      <c r="O1113" s="12" t="e">
        <f t="shared" si="348"/>
        <v>#REF!</v>
      </c>
      <c r="P1113" s="12" t="e">
        <f t="shared" si="349"/>
        <v>#REF!</v>
      </c>
    </row>
    <row r="1114" spans="1:16" ht="15.75" hidden="1" x14ac:dyDescent="0.25">
      <c r="A1114" s="14">
        <v>20</v>
      </c>
      <c r="B1114" s="14">
        <v>26</v>
      </c>
      <c r="C1114" s="8" t="s">
        <v>1129</v>
      </c>
      <c r="D1114" s="28" t="s">
        <v>2447</v>
      </c>
      <c r="E1114" s="12" t="s">
        <v>1616</v>
      </c>
      <c r="F1114" s="1"/>
      <c r="G1114" s="1">
        <v>24.573</v>
      </c>
      <c r="H1114" s="1">
        <v>0.629</v>
      </c>
      <c r="I1114" s="12">
        <f t="shared" si="345"/>
        <v>25.202000000000002</v>
      </c>
      <c r="J1114" s="12">
        <v>20218.755000000001</v>
      </c>
      <c r="K1114" s="12"/>
      <c r="L1114" s="12">
        <f t="shared" si="346"/>
        <v>20218.755000000001</v>
      </c>
      <c r="M1114" s="12">
        <f t="shared" si="338"/>
        <v>802.26787556543127</v>
      </c>
      <c r="N1114" s="12" t="e">
        <f t="shared" si="347"/>
        <v>#REF!</v>
      </c>
      <c r="O1114" s="12" t="e">
        <f t="shared" si="348"/>
        <v>#REF!</v>
      </c>
      <c r="P1114" s="12" t="e">
        <f t="shared" si="349"/>
        <v>#REF!</v>
      </c>
    </row>
    <row r="1115" spans="1:16" ht="15.75" hidden="1" x14ac:dyDescent="0.25">
      <c r="A1115" s="14">
        <v>20</v>
      </c>
      <c r="B1115" s="14">
        <v>27</v>
      </c>
      <c r="C1115" s="8" t="s">
        <v>1129</v>
      </c>
      <c r="D1115" s="28" t="s">
        <v>2448</v>
      </c>
      <c r="E1115" s="12" t="s">
        <v>1617</v>
      </c>
      <c r="F1115" s="1"/>
      <c r="G1115" s="1">
        <v>28.927</v>
      </c>
      <c r="H1115" s="1">
        <v>0.40799999999999997</v>
      </c>
      <c r="I1115" s="12">
        <f t="shared" si="345"/>
        <v>29.335000000000001</v>
      </c>
      <c r="J1115" s="12">
        <v>32450.675999999999</v>
      </c>
      <c r="K1115" s="12"/>
      <c r="L1115" s="12">
        <f t="shared" si="346"/>
        <v>32450.675999999999</v>
      </c>
      <c r="M1115" s="12">
        <f t="shared" si="338"/>
        <v>1106.210192602693</v>
      </c>
      <c r="N1115" s="12" t="e">
        <f t="shared" si="347"/>
        <v>#REF!</v>
      </c>
      <c r="O1115" s="12" t="e">
        <f t="shared" si="348"/>
        <v>#REF!</v>
      </c>
      <c r="P1115" s="12" t="e">
        <f t="shared" si="349"/>
        <v>#REF!</v>
      </c>
    </row>
    <row r="1116" spans="1:16" ht="15.75" hidden="1" x14ac:dyDescent="0.25">
      <c r="A1116" s="14">
        <v>20</v>
      </c>
      <c r="B1116" s="14">
        <v>28</v>
      </c>
      <c r="C1116" s="8" t="s">
        <v>1129</v>
      </c>
      <c r="D1116" s="28" t="s">
        <v>2449</v>
      </c>
      <c r="E1116" s="12" t="s">
        <v>1618</v>
      </c>
      <c r="F1116" s="1"/>
      <c r="G1116" s="1">
        <v>15.965999999999999</v>
      </c>
      <c r="H1116" s="1">
        <v>0.113</v>
      </c>
      <c r="I1116" s="12">
        <f t="shared" si="345"/>
        <v>16.079000000000001</v>
      </c>
      <c r="J1116" s="12">
        <f>37674.161-20752.105</f>
        <v>16922.056</v>
      </c>
      <c r="K1116" s="12"/>
      <c r="L1116" s="12">
        <f t="shared" si="346"/>
        <v>16922.056</v>
      </c>
      <c r="M1116" s="12">
        <f t="shared" si="338"/>
        <v>1052.4321164251508</v>
      </c>
      <c r="N1116" s="12" t="e">
        <f t="shared" si="347"/>
        <v>#REF!</v>
      </c>
      <c r="O1116" s="12" t="e">
        <f t="shared" si="348"/>
        <v>#REF!</v>
      </c>
      <c r="P1116" s="12" t="e">
        <f t="shared" si="349"/>
        <v>#REF!</v>
      </c>
    </row>
    <row r="1117" spans="1:16" ht="15.75" hidden="1" x14ac:dyDescent="0.25">
      <c r="A1117" s="14">
        <v>20</v>
      </c>
      <c r="B1117" s="14">
        <v>29</v>
      </c>
      <c r="C1117" s="8" t="s">
        <v>1129</v>
      </c>
      <c r="D1117" s="28" t="s">
        <v>2450</v>
      </c>
      <c r="E1117" s="12" t="s">
        <v>1469</v>
      </c>
      <c r="F1117" s="1"/>
      <c r="G1117" s="1">
        <v>15.791</v>
      </c>
      <c r="H1117" s="1">
        <v>0.17199999999999999</v>
      </c>
      <c r="I1117" s="12">
        <f t="shared" si="345"/>
        <v>15.963000000000001</v>
      </c>
      <c r="J1117" s="12">
        <v>26147.696</v>
      </c>
      <c r="K1117" s="12"/>
      <c r="L1117" s="12">
        <f t="shared" si="346"/>
        <v>26147.696</v>
      </c>
      <c r="M1117" s="12">
        <f t="shared" si="338"/>
        <v>1638.0189187496085</v>
      </c>
      <c r="N1117" s="12" t="e">
        <f t="shared" si="347"/>
        <v>#REF!</v>
      </c>
      <c r="O1117" s="12" t="e">
        <f t="shared" si="348"/>
        <v>#REF!</v>
      </c>
      <c r="P1117" s="12" t="e">
        <f t="shared" si="349"/>
        <v>#REF!</v>
      </c>
    </row>
    <row r="1118" spans="1:16" ht="15.75" hidden="1" x14ac:dyDescent="0.25">
      <c r="A1118" s="14">
        <v>20</v>
      </c>
      <c r="B1118" s="14">
        <v>30</v>
      </c>
      <c r="C1118" s="8" t="s">
        <v>1129</v>
      </c>
      <c r="D1118" s="28" t="s">
        <v>2451</v>
      </c>
      <c r="E1118" s="12" t="s">
        <v>1619</v>
      </c>
      <c r="F1118" s="1"/>
      <c r="G1118" s="1">
        <v>9.98</v>
      </c>
      <c r="H1118" s="1">
        <v>0.66700000000000004</v>
      </c>
      <c r="I1118" s="12">
        <f t="shared" si="345"/>
        <v>10.647</v>
      </c>
      <c r="J1118" s="12">
        <v>9900.9609999999993</v>
      </c>
      <c r="K1118" s="12"/>
      <c r="L1118" s="12">
        <f t="shared" si="346"/>
        <v>9900.9609999999993</v>
      </c>
      <c r="M1118" s="12">
        <f t="shared" si="338"/>
        <v>929.92965154503611</v>
      </c>
      <c r="N1118" s="12" t="e">
        <f t="shared" si="347"/>
        <v>#REF!</v>
      </c>
      <c r="O1118" s="12" t="e">
        <f t="shared" si="348"/>
        <v>#REF!</v>
      </c>
      <c r="P1118" s="12" t="e">
        <f t="shared" si="349"/>
        <v>#REF!</v>
      </c>
    </row>
    <row r="1119" spans="1:16" ht="15.75" hidden="1" x14ac:dyDescent="0.25">
      <c r="A1119" s="14">
        <v>20</v>
      </c>
      <c r="B1119" s="14">
        <v>31</v>
      </c>
      <c r="C1119" s="8" t="s">
        <v>1129</v>
      </c>
      <c r="D1119" s="28" t="s">
        <v>2452</v>
      </c>
      <c r="E1119" s="12" t="s">
        <v>1620</v>
      </c>
      <c r="F1119" s="1"/>
      <c r="G1119" s="1">
        <v>21.128</v>
      </c>
      <c r="H1119" s="1">
        <v>0.47099999999999997</v>
      </c>
      <c r="I1119" s="12">
        <f t="shared" si="345"/>
        <v>21.599</v>
      </c>
      <c r="J1119" s="12">
        <v>23861.232</v>
      </c>
      <c r="K1119" s="12"/>
      <c r="L1119" s="12">
        <f t="shared" si="346"/>
        <v>23861.232</v>
      </c>
      <c r="M1119" s="12">
        <f t="shared" si="338"/>
        <v>1104.7378119357377</v>
      </c>
      <c r="N1119" s="12" t="e">
        <f t="shared" si="347"/>
        <v>#REF!</v>
      </c>
      <c r="O1119" s="12" t="e">
        <f t="shared" si="348"/>
        <v>#REF!</v>
      </c>
      <c r="P1119" s="12" t="e">
        <f t="shared" si="349"/>
        <v>#REF!</v>
      </c>
    </row>
    <row r="1120" spans="1:16" ht="15.75" hidden="1" x14ac:dyDescent="0.25">
      <c r="A1120" s="14">
        <v>20</v>
      </c>
      <c r="B1120" s="14">
        <v>32</v>
      </c>
      <c r="C1120" s="8" t="s">
        <v>1129</v>
      </c>
      <c r="D1120" s="28" t="s">
        <v>2453</v>
      </c>
      <c r="E1120" s="12" t="s">
        <v>1621</v>
      </c>
      <c r="F1120" s="1"/>
      <c r="G1120" s="1">
        <v>140.16499999999999</v>
      </c>
      <c r="H1120" s="1">
        <v>4.6909999999999998</v>
      </c>
      <c r="I1120" s="12">
        <f t="shared" si="345"/>
        <v>144.85599999999999</v>
      </c>
      <c r="J1120" s="12">
        <v>110424.60799999999</v>
      </c>
      <c r="K1120" s="12"/>
      <c r="L1120" s="12">
        <f t="shared" si="346"/>
        <v>110424.60799999999</v>
      </c>
      <c r="M1120" s="12">
        <f t="shared" si="338"/>
        <v>762.30606947589331</v>
      </c>
      <c r="N1120" s="12" t="e">
        <f t="shared" si="347"/>
        <v>#REF!</v>
      </c>
      <c r="O1120" s="12" t="e">
        <f t="shared" si="348"/>
        <v>#REF!</v>
      </c>
      <c r="P1120" s="12" t="e">
        <f t="shared" si="349"/>
        <v>#REF!</v>
      </c>
    </row>
    <row r="1121" spans="1:16" ht="15.75" hidden="1" x14ac:dyDescent="0.25">
      <c r="A1121" s="14">
        <v>20</v>
      </c>
      <c r="B1121" s="14">
        <v>33</v>
      </c>
      <c r="C1121" s="8" t="s">
        <v>1129</v>
      </c>
      <c r="D1121" s="28" t="s">
        <v>2454</v>
      </c>
      <c r="E1121" s="12" t="s">
        <v>1622</v>
      </c>
      <c r="F1121" s="1"/>
      <c r="G1121" s="1">
        <v>26.901</v>
      </c>
      <c r="H1121" s="1">
        <v>3.871</v>
      </c>
      <c r="I1121" s="12">
        <f t="shared" si="345"/>
        <v>30.771999999999998</v>
      </c>
      <c r="J1121" s="12">
        <f>32128.714-8048.853</f>
        <v>24079.861000000001</v>
      </c>
      <c r="K1121" s="12"/>
      <c r="L1121" s="12">
        <f t="shared" si="346"/>
        <v>24079.861000000001</v>
      </c>
      <c r="M1121" s="12">
        <f t="shared" si="338"/>
        <v>782.52505524502806</v>
      </c>
      <c r="N1121" s="12" t="e">
        <f t="shared" si="347"/>
        <v>#REF!</v>
      </c>
      <c r="O1121" s="12" t="e">
        <f t="shared" si="348"/>
        <v>#REF!</v>
      </c>
      <c r="P1121" s="12" t="e">
        <f t="shared" si="349"/>
        <v>#REF!</v>
      </c>
    </row>
    <row r="1122" spans="1:16" ht="15.75" hidden="1" x14ac:dyDescent="0.25">
      <c r="A1122" s="14">
        <v>20</v>
      </c>
      <c r="B1122" s="14">
        <v>34</v>
      </c>
      <c r="C1122" s="8" t="s">
        <v>1129</v>
      </c>
      <c r="D1122" s="28" t="s">
        <v>2455</v>
      </c>
      <c r="E1122" s="12" t="s">
        <v>1623</v>
      </c>
      <c r="F1122" s="1"/>
      <c r="G1122" s="1">
        <v>20.440999999999999</v>
      </c>
      <c r="H1122" s="1">
        <v>0.13700000000000001</v>
      </c>
      <c r="I1122" s="12">
        <f t="shared" si="345"/>
        <v>20.577999999999999</v>
      </c>
      <c r="J1122" s="12">
        <v>24952.973000000002</v>
      </c>
      <c r="K1122" s="12"/>
      <c r="L1122" s="12">
        <f t="shared" si="346"/>
        <v>24952.973000000002</v>
      </c>
      <c r="M1122" s="12">
        <f t="shared" si="338"/>
        <v>1212.6043833219944</v>
      </c>
      <c r="N1122" s="12" t="e">
        <f t="shared" si="347"/>
        <v>#REF!</v>
      </c>
      <c r="O1122" s="12" t="e">
        <f t="shared" si="348"/>
        <v>#REF!</v>
      </c>
      <c r="P1122" s="12" t="e">
        <f t="shared" si="349"/>
        <v>#REF!</v>
      </c>
    </row>
    <row r="1123" spans="1:16" ht="15.75" hidden="1" x14ac:dyDescent="0.25">
      <c r="A1123" s="14">
        <v>20</v>
      </c>
      <c r="B1123" s="14" t="s">
        <v>1126</v>
      </c>
      <c r="C1123" s="18" t="s">
        <v>1743</v>
      </c>
      <c r="D1123" s="35"/>
      <c r="E1123" s="37" t="s">
        <v>1747</v>
      </c>
      <c r="F1123" s="6"/>
      <c r="G1123" s="37">
        <f t="shared" ref="G1123:L1123" si="350">SUM(G1124:G1135)</f>
        <v>153.041</v>
      </c>
      <c r="H1123" s="37">
        <f t="shared" si="350"/>
        <v>7.6559999999999988</v>
      </c>
      <c r="I1123" s="37">
        <f t="shared" si="350"/>
        <v>160.69699999999997</v>
      </c>
      <c r="J1123" s="37">
        <f t="shared" si="350"/>
        <v>213394.08300000004</v>
      </c>
      <c r="K1123" s="37">
        <f t="shared" si="350"/>
        <v>0</v>
      </c>
      <c r="L1123" s="37">
        <f t="shared" si="350"/>
        <v>213394.08300000004</v>
      </c>
      <c r="M1123" s="37">
        <f t="shared" si="338"/>
        <v>1327.9282313919991</v>
      </c>
      <c r="N1123" s="37" t="e">
        <f>M1123/$M$1429</f>
        <v>#REF!</v>
      </c>
      <c r="O1123" s="37" t="e">
        <f>SUM(O1124:O1135)</f>
        <v>#REF!</v>
      </c>
      <c r="P1123" s="37" t="e">
        <f>SUM(P1124:P1135)</f>
        <v>#REF!</v>
      </c>
    </row>
    <row r="1124" spans="1:16" ht="15.75" hidden="1" x14ac:dyDescent="0.25">
      <c r="A1124" s="14">
        <v>20</v>
      </c>
      <c r="B1124" s="14">
        <v>35</v>
      </c>
      <c r="C1124" s="19" t="s">
        <v>1744</v>
      </c>
      <c r="D1124" s="31" t="s">
        <v>109</v>
      </c>
      <c r="E1124" s="12" t="s">
        <v>110</v>
      </c>
      <c r="F1124" s="1"/>
      <c r="G1124" s="1">
        <v>8.0299999999999994</v>
      </c>
      <c r="H1124" s="1">
        <v>7.3999999999999996E-2</v>
      </c>
      <c r="I1124" s="12">
        <f t="shared" ref="I1124:I1135" si="351">H1124+G1124</f>
        <v>8.1039999999999992</v>
      </c>
      <c r="J1124" s="12">
        <v>7416.049</v>
      </c>
      <c r="K1124" s="12"/>
      <c r="L1124" s="12">
        <f t="shared" ref="L1124:L1135" si="352">J1124+K1124</f>
        <v>7416.049</v>
      </c>
      <c r="M1124" s="12">
        <f t="shared" si="338"/>
        <v>915.10969891411662</v>
      </c>
      <c r="N1124" s="12" t="e">
        <f t="shared" ref="N1124:N1135" si="353">M1124/$M$1433</f>
        <v>#REF!</v>
      </c>
      <c r="O1124" s="12" t="e">
        <f t="shared" ref="O1124:O1135" si="354">ROUND(IF(N1124&lt;110%,0,(M1124-$M$1433*1.1)*0.8)*I1124,1)</f>
        <v>#REF!</v>
      </c>
      <c r="P1124" s="12" t="e">
        <f t="shared" ref="P1124:P1135" si="355">ROUND(IF(N1124&gt;90%,0,(-M1124+$M$1433*0.9)*0.8)*I1124,1)</f>
        <v>#REF!</v>
      </c>
    </row>
    <row r="1125" spans="1:16" ht="15.75" hidden="1" x14ac:dyDescent="0.25">
      <c r="A1125" s="20">
        <v>20</v>
      </c>
      <c r="B1125" s="20">
        <v>36</v>
      </c>
      <c r="C1125" s="25" t="s">
        <v>1744</v>
      </c>
      <c r="D1125" s="34" t="s">
        <v>137</v>
      </c>
      <c r="E1125" s="12" t="s">
        <v>138</v>
      </c>
      <c r="F1125" s="1"/>
      <c r="G1125" s="1">
        <v>25.585000000000001</v>
      </c>
      <c r="H1125" s="1">
        <v>0.67400000000000004</v>
      </c>
      <c r="I1125" s="12">
        <f t="shared" si="351"/>
        <v>26.259</v>
      </c>
      <c r="J1125" s="12">
        <v>24624.254000000001</v>
      </c>
      <c r="K1125" s="12"/>
      <c r="L1125" s="12">
        <f t="shared" si="352"/>
        <v>24624.254000000001</v>
      </c>
      <c r="M1125" s="12">
        <f t="shared" si="338"/>
        <v>937.74530637114901</v>
      </c>
      <c r="N1125" s="12" t="e">
        <f t="shared" si="353"/>
        <v>#REF!</v>
      </c>
      <c r="O1125" s="12" t="e">
        <f t="shared" si="354"/>
        <v>#REF!</v>
      </c>
      <c r="P1125" s="12" t="e">
        <f t="shared" si="355"/>
        <v>#REF!</v>
      </c>
    </row>
    <row r="1126" spans="1:16" ht="15.75" hidden="1" x14ac:dyDescent="0.25">
      <c r="A1126" s="20">
        <v>20</v>
      </c>
      <c r="B1126" s="20">
        <v>37</v>
      </c>
      <c r="C1126" s="25" t="s">
        <v>1744</v>
      </c>
      <c r="D1126" s="34" t="s">
        <v>139</v>
      </c>
      <c r="E1126" s="12" t="s">
        <v>140</v>
      </c>
      <c r="F1126" s="1"/>
      <c r="G1126" s="1">
        <v>11.462999999999999</v>
      </c>
      <c r="H1126" s="1">
        <v>1.27</v>
      </c>
      <c r="I1126" s="12">
        <f t="shared" si="351"/>
        <v>12.732999999999999</v>
      </c>
      <c r="J1126" s="12">
        <v>13072.271000000001</v>
      </c>
      <c r="K1126" s="12"/>
      <c r="L1126" s="12">
        <f t="shared" si="352"/>
        <v>13072.271000000001</v>
      </c>
      <c r="M1126" s="12">
        <f t="shared" si="338"/>
        <v>1026.6450168852589</v>
      </c>
      <c r="N1126" s="12" t="e">
        <f t="shared" si="353"/>
        <v>#REF!</v>
      </c>
      <c r="O1126" s="12" t="e">
        <f t="shared" si="354"/>
        <v>#REF!</v>
      </c>
      <c r="P1126" s="12" t="e">
        <f t="shared" si="355"/>
        <v>#REF!</v>
      </c>
    </row>
    <row r="1127" spans="1:16" ht="15.75" hidden="1" x14ac:dyDescent="0.25">
      <c r="A1127" s="20">
        <v>20</v>
      </c>
      <c r="B1127" s="20">
        <v>38</v>
      </c>
      <c r="C1127" s="25" t="s">
        <v>1744</v>
      </c>
      <c r="D1127" s="34" t="s">
        <v>435</v>
      </c>
      <c r="E1127" s="12" t="s">
        <v>436</v>
      </c>
      <c r="F1127" s="1"/>
      <c r="G1127" s="1">
        <v>14.108000000000001</v>
      </c>
      <c r="H1127" s="1">
        <v>0.67200000000000004</v>
      </c>
      <c r="I1127" s="12">
        <f t="shared" si="351"/>
        <v>14.780000000000001</v>
      </c>
      <c r="J1127" s="12">
        <v>30776.853999999999</v>
      </c>
      <c r="K1127" s="12"/>
      <c r="L1127" s="12">
        <f t="shared" si="352"/>
        <v>30776.853999999999</v>
      </c>
      <c r="M1127" s="12">
        <f t="shared" si="338"/>
        <v>2082.3311231393773</v>
      </c>
      <c r="N1127" s="12" t="e">
        <f t="shared" si="353"/>
        <v>#REF!</v>
      </c>
      <c r="O1127" s="12" t="e">
        <f t="shared" si="354"/>
        <v>#REF!</v>
      </c>
      <c r="P1127" s="12" t="e">
        <f t="shared" si="355"/>
        <v>#REF!</v>
      </c>
    </row>
    <row r="1128" spans="1:16" ht="15.75" hidden="1" x14ac:dyDescent="0.25">
      <c r="A1128" s="20">
        <v>20</v>
      </c>
      <c r="B1128" s="20">
        <v>39</v>
      </c>
      <c r="C1128" s="25" t="s">
        <v>1744</v>
      </c>
      <c r="D1128" s="34" t="s">
        <v>560</v>
      </c>
      <c r="E1128" s="42" t="s">
        <v>909</v>
      </c>
      <c r="F1128" s="43"/>
      <c r="G1128" s="43">
        <v>16.852</v>
      </c>
      <c r="H1128" s="43">
        <v>0.215</v>
      </c>
      <c r="I1128" s="12">
        <f t="shared" si="351"/>
        <v>17.067</v>
      </c>
      <c r="J1128" s="42">
        <v>20752.105</v>
      </c>
      <c r="K1128" s="42"/>
      <c r="L1128" s="42">
        <f t="shared" si="352"/>
        <v>20752.105</v>
      </c>
      <c r="M1128" s="42">
        <f t="shared" si="338"/>
        <v>1215.9199039081268</v>
      </c>
      <c r="N1128" s="12" t="e">
        <f t="shared" si="353"/>
        <v>#REF!</v>
      </c>
      <c r="O1128" s="12" t="e">
        <f t="shared" si="354"/>
        <v>#REF!</v>
      </c>
      <c r="P1128" s="12" t="e">
        <f t="shared" si="355"/>
        <v>#REF!</v>
      </c>
    </row>
    <row r="1129" spans="1:16" ht="15.75" hidden="1" x14ac:dyDescent="0.25">
      <c r="A1129" s="49">
        <v>20</v>
      </c>
      <c r="B1129" s="49">
        <v>40</v>
      </c>
      <c r="C1129" s="54" t="s">
        <v>1744</v>
      </c>
      <c r="D1129" s="55" t="s">
        <v>910</v>
      </c>
      <c r="E1129" s="52" t="s">
        <v>911</v>
      </c>
      <c r="F1129" s="53"/>
      <c r="G1129" s="53">
        <v>13.666</v>
      </c>
      <c r="H1129" s="53">
        <v>0.26100000000000001</v>
      </c>
      <c r="I1129" s="12">
        <f t="shared" si="351"/>
        <v>13.927</v>
      </c>
      <c r="J1129" s="52">
        <v>8279.5040000000008</v>
      </c>
      <c r="K1129" s="52"/>
      <c r="L1129" s="52">
        <f t="shared" si="352"/>
        <v>8279.5040000000008</v>
      </c>
      <c r="M1129" s="52">
        <f t="shared" si="338"/>
        <v>594.49299921016734</v>
      </c>
      <c r="N1129" s="12" t="e">
        <f t="shared" si="353"/>
        <v>#REF!</v>
      </c>
      <c r="O1129" s="12" t="e">
        <f t="shared" si="354"/>
        <v>#REF!</v>
      </c>
      <c r="P1129" s="12" t="e">
        <f t="shared" si="355"/>
        <v>#REF!</v>
      </c>
    </row>
    <row r="1130" spans="1:16" ht="15.75" hidden="1" x14ac:dyDescent="0.25">
      <c r="A1130" s="49">
        <v>20</v>
      </c>
      <c r="B1130" s="49">
        <v>41</v>
      </c>
      <c r="C1130" s="54" t="s">
        <v>1744</v>
      </c>
      <c r="D1130" s="55" t="s">
        <v>912</v>
      </c>
      <c r="E1130" s="52" t="s">
        <v>913</v>
      </c>
      <c r="F1130" s="53"/>
      <c r="G1130" s="53">
        <v>9.923</v>
      </c>
      <c r="H1130" s="53">
        <v>7.6999999999999999E-2</v>
      </c>
      <c r="I1130" s="12">
        <f t="shared" si="351"/>
        <v>10</v>
      </c>
      <c r="J1130" s="52">
        <v>12091.699000000001</v>
      </c>
      <c r="K1130" s="52"/>
      <c r="L1130" s="52">
        <f t="shared" si="352"/>
        <v>12091.699000000001</v>
      </c>
      <c r="M1130" s="52">
        <f t="shared" si="338"/>
        <v>1209.1699000000001</v>
      </c>
      <c r="N1130" s="12" t="e">
        <f t="shared" si="353"/>
        <v>#REF!</v>
      </c>
      <c r="O1130" s="12" t="e">
        <f t="shared" si="354"/>
        <v>#REF!</v>
      </c>
      <c r="P1130" s="12" t="e">
        <f t="shared" si="355"/>
        <v>#REF!</v>
      </c>
    </row>
    <row r="1131" spans="1:16" ht="15.75" hidden="1" x14ac:dyDescent="0.25">
      <c r="A1131" s="49">
        <v>20</v>
      </c>
      <c r="B1131" s="49">
        <v>42</v>
      </c>
      <c r="C1131" s="54" t="s">
        <v>1744</v>
      </c>
      <c r="D1131" s="55" t="s">
        <v>914</v>
      </c>
      <c r="E1131" s="52" t="s">
        <v>915</v>
      </c>
      <c r="F1131" s="53"/>
      <c r="G1131" s="53">
        <v>25.675000000000001</v>
      </c>
      <c r="H1131" s="53">
        <v>0.60399999999999998</v>
      </c>
      <c r="I1131" s="12">
        <f t="shared" si="351"/>
        <v>26.279</v>
      </c>
      <c r="J1131" s="52">
        <v>29161.624</v>
      </c>
      <c r="K1131" s="52"/>
      <c r="L1131" s="52">
        <f t="shared" si="352"/>
        <v>29161.624</v>
      </c>
      <c r="M1131" s="52">
        <f t="shared" si="338"/>
        <v>1109.6930629019369</v>
      </c>
      <c r="N1131" s="12" t="e">
        <f t="shared" si="353"/>
        <v>#REF!</v>
      </c>
      <c r="O1131" s="12" t="e">
        <f t="shared" si="354"/>
        <v>#REF!</v>
      </c>
      <c r="P1131" s="12" t="e">
        <f t="shared" si="355"/>
        <v>#REF!</v>
      </c>
    </row>
    <row r="1132" spans="1:16" ht="15.75" hidden="1" x14ac:dyDescent="0.25">
      <c r="A1132" s="49">
        <v>20</v>
      </c>
      <c r="B1132" s="49">
        <v>43</v>
      </c>
      <c r="C1132" s="54" t="s">
        <v>1744</v>
      </c>
      <c r="D1132" s="55" t="s">
        <v>916</v>
      </c>
      <c r="E1132" s="52" t="s">
        <v>917</v>
      </c>
      <c r="F1132" s="53"/>
      <c r="G1132" s="53">
        <v>5.9260000000000002</v>
      </c>
      <c r="H1132" s="53">
        <v>2.5259999999999998</v>
      </c>
      <c r="I1132" s="12">
        <f t="shared" si="351"/>
        <v>8.452</v>
      </c>
      <c r="J1132" s="52">
        <v>6370.2089999999998</v>
      </c>
      <c r="K1132" s="52"/>
      <c r="L1132" s="52">
        <f t="shared" si="352"/>
        <v>6370.2089999999998</v>
      </c>
      <c r="M1132" s="52">
        <f t="shared" si="338"/>
        <v>753.69249881684811</v>
      </c>
      <c r="N1132" s="12" t="e">
        <f t="shared" si="353"/>
        <v>#REF!</v>
      </c>
      <c r="O1132" s="12" t="e">
        <f t="shared" si="354"/>
        <v>#REF!</v>
      </c>
      <c r="P1132" s="12" t="e">
        <f t="shared" si="355"/>
        <v>#REF!</v>
      </c>
    </row>
    <row r="1133" spans="1:16" ht="15.75" hidden="1" x14ac:dyDescent="0.25">
      <c r="A1133" s="49">
        <v>20</v>
      </c>
      <c r="B1133" s="49">
        <v>44</v>
      </c>
      <c r="C1133" s="54" t="s">
        <v>1744</v>
      </c>
      <c r="D1133" s="55" t="s">
        <v>918</v>
      </c>
      <c r="E1133" s="52" t="s">
        <v>919</v>
      </c>
      <c r="F1133" s="53"/>
      <c r="G1133" s="53">
        <v>7.0279999999999996</v>
      </c>
      <c r="H1133" s="53">
        <v>5.2999999999999999E-2</v>
      </c>
      <c r="I1133" s="12">
        <f t="shared" si="351"/>
        <v>7.0809999999999995</v>
      </c>
      <c r="J1133" s="52">
        <v>11157.63</v>
      </c>
      <c r="K1133" s="52"/>
      <c r="L1133" s="52">
        <f t="shared" si="352"/>
        <v>11157.63</v>
      </c>
      <c r="M1133" s="52">
        <f t="shared" si="338"/>
        <v>1575.7138822200254</v>
      </c>
      <c r="N1133" s="12" t="e">
        <f t="shared" si="353"/>
        <v>#REF!</v>
      </c>
      <c r="O1133" s="12" t="e">
        <f t="shared" si="354"/>
        <v>#REF!</v>
      </c>
      <c r="P1133" s="12" t="e">
        <f t="shared" si="355"/>
        <v>#REF!</v>
      </c>
    </row>
    <row r="1134" spans="1:16" ht="15.75" hidden="1" x14ac:dyDescent="0.25">
      <c r="A1134" s="49">
        <v>20</v>
      </c>
      <c r="B1134" s="49">
        <v>45</v>
      </c>
      <c r="C1134" s="54" t="s">
        <v>1744</v>
      </c>
      <c r="D1134" s="55" t="s">
        <v>920</v>
      </c>
      <c r="E1134" s="52" t="s">
        <v>921</v>
      </c>
      <c r="F1134" s="53"/>
      <c r="G1134" s="53">
        <v>6.444</v>
      </c>
      <c r="H1134" s="53">
        <v>7.6999999999999999E-2</v>
      </c>
      <c r="I1134" s="12">
        <f t="shared" si="351"/>
        <v>6.5209999999999999</v>
      </c>
      <c r="J1134" s="52">
        <v>41643.031000000003</v>
      </c>
      <c r="K1134" s="52"/>
      <c r="L1134" s="52">
        <f t="shared" si="352"/>
        <v>41643.031000000003</v>
      </c>
      <c r="M1134" s="52">
        <f t="shared" si="338"/>
        <v>6385.9884986965199</v>
      </c>
      <c r="N1134" s="12" t="e">
        <f t="shared" si="353"/>
        <v>#REF!</v>
      </c>
      <c r="O1134" s="12" t="e">
        <f t="shared" si="354"/>
        <v>#REF!</v>
      </c>
      <c r="P1134" s="12" t="e">
        <f t="shared" si="355"/>
        <v>#REF!</v>
      </c>
    </row>
    <row r="1135" spans="1:16" ht="15.75" hidden="1" x14ac:dyDescent="0.25">
      <c r="A1135" s="49">
        <v>20</v>
      </c>
      <c r="B1135" s="49">
        <v>46</v>
      </c>
      <c r="C1135" s="54" t="s">
        <v>1744</v>
      </c>
      <c r="D1135" s="55" t="s">
        <v>922</v>
      </c>
      <c r="E1135" s="52" t="s">
        <v>923</v>
      </c>
      <c r="F1135" s="53"/>
      <c r="G1135" s="53">
        <v>8.3409999999999993</v>
      </c>
      <c r="H1135" s="53">
        <v>1.153</v>
      </c>
      <c r="I1135" s="12">
        <f t="shared" si="351"/>
        <v>9.4939999999999998</v>
      </c>
      <c r="J1135" s="52">
        <v>8048.8530000000001</v>
      </c>
      <c r="K1135" s="52"/>
      <c r="L1135" s="52">
        <f t="shared" si="352"/>
        <v>8048.8530000000001</v>
      </c>
      <c r="M1135" s="52">
        <f t="shared" si="338"/>
        <v>847.78312618495897</v>
      </c>
      <c r="N1135" s="12" t="e">
        <f t="shared" si="353"/>
        <v>#REF!</v>
      </c>
      <c r="O1135" s="12" t="e">
        <f t="shared" si="354"/>
        <v>#REF!</v>
      </c>
      <c r="P1135" s="12" t="e">
        <f t="shared" si="355"/>
        <v>#REF!</v>
      </c>
    </row>
    <row r="1136" spans="1:16" s="75" customFormat="1" ht="15.75" hidden="1" x14ac:dyDescent="0.25">
      <c r="A1136" s="72">
        <v>21</v>
      </c>
      <c r="B1136" s="72" t="s">
        <v>1126</v>
      </c>
      <c r="C1136" s="73" t="s">
        <v>1161</v>
      </c>
      <c r="D1136" s="74"/>
      <c r="E1136" s="71" t="s">
        <v>1646</v>
      </c>
      <c r="F1136" s="76"/>
      <c r="G1136" s="71">
        <f t="shared" ref="G1136:L1136" si="356">G1137+G1138+G1143+G1162</f>
        <v>1055.6489999999999</v>
      </c>
      <c r="H1136" s="71">
        <f t="shared" si="356"/>
        <v>13.708</v>
      </c>
      <c r="I1136" s="71">
        <f t="shared" si="356"/>
        <v>1069.357</v>
      </c>
      <c r="J1136" s="71">
        <f t="shared" si="356"/>
        <v>1181663.3259999999</v>
      </c>
      <c r="K1136" s="71">
        <f t="shared" si="356"/>
        <v>0</v>
      </c>
      <c r="L1136" s="71">
        <f t="shared" si="356"/>
        <v>1181663.3259999999</v>
      </c>
      <c r="M1136" s="71">
        <f>L1136/I1136</f>
        <v>1105.0222947060709</v>
      </c>
      <c r="N1136" s="71" t="e">
        <f>M1136/$M$1429</f>
        <v>#REF!</v>
      </c>
      <c r="O1136" s="71" t="e">
        <f>O1137+O1138+O1143+O1162</f>
        <v>#REF!</v>
      </c>
      <c r="P1136" s="71" t="e">
        <f>P1137+P1138+P1143+P1162</f>
        <v>#REF!</v>
      </c>
    </row>
    <row r="1137" spans="1:16" ht="15.75" hidden="1" x14ac:dyDescent="0.25">
      <c r="A1137" s="14">
        <v>21</v>
      </c>
      <c r="B1137" s="14" t="s">
        <v>1126</v>
      </c>
      <c r="C1137" s="8" t="s">
        <v>1159</v>
      </c>
      <c r="D1137" s="28" t="s">
        <v>2456</v>
      </c>
      <c r="E1137" s="12" t="s">
        <v>1160</v>
      </c>
      <c r="F1137" s="1"/>
      <c r="G1137" s="1">
        <v>0</v>
      </c>
      <c r="H1137" s="1">
        <v>0</v>
      </c>
      <c r="I1137" s="12">
        <f>H1137+G1137</f>
        <v>0</v>
      </c>
      <c r="J1137" s="12"/>
      <c r="K1137" s="12"/>
      <c r="L1137" s="12"/>
      <c r="M1137" s="12"/>
      <c r="N1137" s="12"/>
      <c r="O1137" s="12"/>
      <c r="P1137" s="12"/>
    </row>
    <row r="1138" spans="1:16" ht="15.75" hidden="1" x14ac:dyDescent="0.25">
      <c r="A1138" s="15">
        <v>21</v>
      </c>
      <c r="B1138" s="15" t="s">
        <v>1126</v>
      </c>
      <c r="C1138" s="10" t="s">
        <v>1127</v>
      </c>
      <c r="D1138" s="29"/>
      <c r="E1138" s="37" t="s">
        <v>1128</v>
      </c>
      <c r="F1138" s="6"/>
      <c r="G1138" s="37">
        <f t="shared" ref="G1138:L1138" si="357">SUM(G1139:G1142)</f>
        <v>450.31299999999999</v>
      </c>
      <c r="H1138" s="37">
        <f>SUM(H1139:H1142)</f>
        <v>7.7770000000000001</v>
      </c>
      <c r="I1138" s="37">
        <f t="shared" si="357"/>
        <v>458.09000000000003</v>
      </c>
      <c r="J1138" s="37">
        <f t="shared" si="357"/>
        <v>701624.23599999992</v>
      </c>
      <c r="K1138" s="37">
        <f t="shared" si="357"/>
        <v>0</v>
      </c>
      <c r="L1138" s="37">
        <f t="shared" si="357"/>
        <v>701624.23599999992</v>
      </c>
      <c r="M1138" s="37">
        <f t="shared" ref="M1138:M1186" si="358">L1138/I1138</f>
        <v>1531.6296710253441</v>
      </c>
      <c r="N1138" s="37" t="e">
        <f>M1138/$M$1429</f>
        <v>#REF!</v>
      </c>
      <c r="O1138" s="37" t="e">
        <f>SUM(O1139:O1142)</f>
        <v>#REF!</v>
      </c>
      <c r="P1138" s="37" t="e">
        <f>SUM(P1139:P1142)</f>
        <v>#REF!</v>
      </c>
    </row>
    <row r="1139" spans="1:16" ht="15.75" hidden="1" x14ac:dyDescent="0.25">
      <c r="A1139" s="14">
        <v>21</v>
      </c>
      <c r="B1139" s="14" t="s">
        <v>1811</v>
      </c>
      <c r="C1139" s="8" t="s">
        <v>1119</v>
      </c>
      <c r="D1139" s="28" t="s">
        <v>2457</v>
      </c>
      <c r="E1139" s="12" t="s">
        <v>1625</v>
      </c>
      <c r="F1139" s="1"/>
      <c r="G1139" s="1">
        <v>331.52199999999999</v>
      </c>
      <c r="H1139" s="1">
        <v>6.5410000000000004</v>
      </c>
      <c r="I1139" s="12">
        <f>H1139+G1139</f>
        <v>338.06299999999999</v>
      </c>
      <c r="J1139" s="12">
        <v>548139.951</v>
      </c>
      <c r="K1139" s="12"/>
      <c r="L1139" s="12">
        <f>J1139+K1139</f>
        <v>548139.951</v>
      </c>
      <c r="M1139" s="12">
        <f t="shared" si="358"/>
        <v>1621.4136152137323</v>
      </c>
      <c r="N1139" s="12" t="e">
        <f>M1139/$M$1431</f>
        <v>#REF!</v>
      </c>
      <c r="O1139" s="12" t="e">
        <f>ROUND(IF(N1139&lt;110%,0,(M1139-$M$1431*1.1)*0.8)*I1139,1)</f>
        <v>#REF!</v>
      </c>
      <c r="P1139" s="12" t="e">
        <f>ROUND(IF(N1139&gt;90%,0,(-M1139+$M$1431*0.9)*0.8)*I1139,1)</f>
        <v>#REF!</v>
      </c>
    </row>
    <row r="1140" spans="1:16" ht="15.75" hidden="1" x14ac:dyDescent="0.25">
      <c r="A1140" s="14">
        <v>21</v>
      </c>
      <c r="B1140" s="14" t="s">
        <v>1810</v>
      </c>
      <c r="C1140" s="8" t="s">
        <v>1119</v>
      </c>
      <c r="D1140" s="28" t="s">
        <v>2458</v>
      </c>
      <c r="E1140" s="12" t="s">
        <v>1626</v>
      </c>
      <c r="F1140" s="1"/>
      <c r="G1140" s="1">
        <v>36.598999999999997</v>
      </c>
      <c r="H1140" s="1">
        <v>0.246</v>
      </c>
      <c r="I1140" s="12">
        <f>H1140+G1140</f>
        <v>36.844999999999999</v>
      </c>
      <c r="J1140" s="12">
        <v>54968.466</v>
      </c>
      <c r="K1140" s="12"/>
      <c r="L1140" s="12">
        <f>J1140+K1140</f>
        <v>54968.466</v>
      </c>
      <c r="M1140" s="12">
        <f t="shared" si="358"/>
        <v>1491.8840005428146</v>
      </c>
      <c r="N1140" s="12" t="e">
        <f>M1140/$M$1431</f>
        <v>#REF!</v>
      </c>
      <c r="O1140" s="12" t="e">
        <f>ROUND(IF(N1140&lt;110%,0,(M1140-$M$1431*1.1)*0.8)*I1140,1)</f>
        <v>#REF!</v>
      </c>
      <c r="P1140" s="12" t="e">
        <f>ROUND(IF(N1140&gt;90%,0,(-M1140+$M$1431*0.9)*0.8)*I1140,1)</f>
        <v>#REF!</v>
      </c>
    </row>
    <row r="1141" spans="1:16" ht="15.75" hidden="1" x14ac:dyDescent="0.25">
      <c r="A1141" s="14">
        <v>21</v>
      </c>
      <c r="B1141" s="14" t="s">
        <v>1850</v>
      </c>
      <c r="C1141" s="8" t="s">
        <v>1119</v>
      </c>
      <c r="D1141" s="28" t="s">
        <v>2459</v>
      </c>
      <c r="E1141" s="12" t="s">
        <v>1627</v>
      </c>
      <c r="F1141" s="1"/>
      <c r="G1141" s="1">
        <v>67.495000000000005</v>
      </c>
      <c r="H1141" s="1">
        <v>0.83399999999999996</v>
      </c>
      <c r="I1141" s="12">
        <f>H1141+G1141</f>
        <v>68.329000000000008</v>
      </c>
      <c r="J1141" s="12">
        <v>77513.739000000001</v>
      </c>
      <c r="K1141" s="12"/>
      <c r="L1141" s="12">
        <f>J1141+K1141</f>
        <v>77513.739000000001</v>
      </c>
      <c r="M1141" s="12">
        <f t="shared" si="358"/>
        <v>1134.4193387873377</v>
      </c>
      <c r="N1141" s="12" t="e">
        <f>M1141/$M$1431</f>
        <v>#REF!</v>
      </c>
      <c r="O1141" s="12" t="e">
        <f>ROUND(IF(N1141&lt;110%,0,(M1141-$M$1431*1.1)*0.8)*I1141,1)</f>
        <v>#REF!</v>
      </c>
      <c r="P1141" s="12" t="e">
        <f>ROUND(IF(N1141&gt;90%,0,(-M1141+$M$1431*0.9)*0.8)*I1141,1)</f>
        <v>#REF!</v>
      </c>
    </row>
    <row r="1142" spans="1:16" ht="15.75" hidden="1" x14ac:dyDescent="0.25">
      <c r="A1142" s="14">
        <v>21</v>
      </c>
      <c r="B1142" s="14" t="s">
        <v>1855</v>
      </c>
      <c r="C1142" s="8" t="s">
        <v>1119</v>
      </c>
      <c r="D1142" s="28" t="s">
        <v>2460</v>
      </c>
      <c r="E1142" s="12" t="s">
        <v>1628</v>
      </c>
      <c r="F1142" s="1"/>
      <c r="G1142" s="1">
        <v>14.696999999999999</v>
      </c>
      <c r="H1142" s="1">
        <v>0.156</v>
      </c>
      <c r="I1142" s="12">
        <f>H1142+G1142</f>
        <v>14.853</v>
      </c>
      <c r="J1142" s="12">
        <v>21002.080000000002</v>
      </c>
      <c r="K1142" s="12"/>
      <c r="L1142" s="12">
        <f>J1142+K1142</f>
        <v>21002.080000000002</v>
      </c>
      <c r="M1142" s="12">
        <f t="shared" si="358"/>
        <v>1413.9958257591061</v>
      </c>
      <c r="N1142" s="12" t="e">
        <f>M1142/$M$1431</f>
        <v>#REF!</v>
      </c>
      <c r="O1142" s="12" t="e">
        <f>ROUND(IF(N1142&lt;110%,0,(M1142-$M$1431*1.1)*0.8)*I1142,1)</f>
        <v>#REF!</v>
      </c>
      <c r="P1142" s="12" t="e">
        <f>ROUND(IF(N1142&gt;90%,0,(-M1142+$M$1431*0.9)*0.8)*I1142,1)</f>
        <v>#REF!</v>
      </c>
    </row>
    <row r="1143" spans="1:16" ht="15.75" hidden="1" x14ac:dyDescent="0.25">
      <c r="A1143" s="15">
        <v>21</v>
      </c>
      <c r="B1143" s="15" t="s">
        <v>1126</v>
      </c>
      <c r="C1143" s="10" t="s">
        <v>1157</v>
      </c>
      <c r="D1143" s="29"/>
      <c r="E1143" s="37" t="s">
        <v>1645</v>
      </c>
      <c r="F1143" s="6"/>
      <c r="G1143" s="37">
        <f t="shared" ref="G1143:L1143" si="359">SUM(G1144:G1161)</f>
        <v>422.97599999999994</v>
      </c>
      <c r="H1143" s="37">
        <f>SUM(H1144:H1161)</f>
        <v>5.1479999999999997</v>
      </c>
      <c r="I1143" s="37">
        <f t="shared" si="359"/>
        <v>428.12399999999997</v>
      </c>
      <c r="J1143" s="37">
        <f t="shared" si="359"/>
        <v>327650.946</v>
      </c>
      <c r="K1143" s="37">
        <f t="shared" si="359"/>
        <v>0</v>
      </c>
      <c r="L1143" s="37">
        <f t="shared" si="359"/>
        <v>327650.946</v>
      </c>
      <c r="M1143" s="37">
        <f t="shared" si="358"/>
        <v>765.31786585194948</v>
      </c>
      <c r="N1143" s="37" t="e">
        <f>M1143/$M$1429</f>
        <v>#REF!</v>
      </c>
      <c r="O1143" s="37" t="e">
        <f>SUM(O1144:O1161)</f>
        <v>#REF!</v>
      </c>
      <c r="P1143" s="37" t="e">
        <f>SUM(P1144:P1161)</f>
        <v>#REF!</v>
      </c>
    </row>
    <row r="1144" spans="1:16" ht="15.75" hidden="1" x14ac:dyDescent="0.25">
      <c r="A1144" s="14">
        <v>21</v>
      </c>
      <c r="B1144" s="14" t="s">
        <v>1818</v>
      </c>
      <c r="C1144" s="8" t="s">
        <v>1129</v>
      </c>
      <c r="D1144" s="28" t="s">
        <v>2461</v>
      </c>
      <c r="E1144" s="12" t="s">
        <v>1629</v>
      </c>
      <c r="F1144" s="1"/>
      <c r="G1144" s="1">
        <v>47.591999999999999</v>
      </c>
      <c r="H1144" s="1">
        <v>0.20499999999999999</v>
      </c>
      <c r="I1144" s="12">
        <f t="shared" ref="I1144:I1161" si="360">H1144+G1144</f>
        <v>47.796999999999997</v>
      </c>
      <c r="J1144" s="12">
        <v>34886.718999999997</v>
      </c>
      <c r="K1144" s="12"/>
      <c r="L1144" s="12">
        <f t="shared" ref="L1144:L1161" si="361">J1144+K1144</f>
        <v>34886.718999999997</v>
      </c>
      <c r="M1144" s="12">
        <f t="shared" si="358"/>
        <v>729.89348703893552</v>
      </c>
      <c r="N1144" s="12" t="e">
        <f t="shared" ref="N1144:N1161" si="362">M1144/$M$1432</f>
        <v>#REF!</v>
      </c>
      <c r="O1144" s="12" t="e">
        <f t="shared" ref="O1144:O1161" si="363">ROUND(IF(N1144&lt;110%,0,(M1144-$M$1432*1.1)*0.8)*I1144,1)</f>
        <v>#REF!</v>
      </c>
      <c r="P1144" s="12" t="e">
        <f t="shared" ref="P1144:P1161" si="364">ROUND(IF(N1144&gt;90%,0,(-M1144+$M$1432*0.9)*0.8)*I1144,1)</f>
        <v>#REF!</v>
      </c>
    </row>
    <row r="1145" spans="1:16" ht="15.75" hidden="1" x14ac:dyDescent="0.25">
      <c r="A1145" s="14">
        <v>21</v>
      </c>
      <c r="B1145" s="14" t="s">
        <v>1820</v>
      </c>
      <c r="C1145" s="8" t="s">
        <v>1129</v>
      </c>
      <c r="D1145" s="28" t="s">
        <v>2462</v>
      </c>
      <c r="E1145" s="12" t="s">
        <v>1630</v>
      </c>
      <c r="F1145" s="1"/>
      <c r="G1145" s="1">
        <v>41.55</v>
      </c>
      <c r="H1145" s="1">
        <v>0.46300000000000002</v>
      </c>
      <c r="I1145" s="12">
        <f t="shared" si="360"/>
        <v>42.012999999999998</v>
      </c>
      <c r="J1145" s="12">
        <f>49968.688-11083.464-2758.008</f>
        <v>36127.216</v>
      </c>
      <c r="K1145" s="12"/>
      <c r="L1145" s="12">
        <f t="shared" si="361"/>
        <v>36127.216</v>
      </c>
      <c r="M1145" s="12">
        <f t="shared" si="358"/>
        <v>859.90564825173169</v>
      </c>
      <c r="N1145" s="12" t="e">
        <f t="shared" si="362"/>
        <v>#REF!</v>
      </c>
      <c r="O1145" s="12" t="e">
        <f t="shared" si="363"/>
        <v>#REF!</v>
      </c>
      <c r="P1145" s="12" t="e">
        <f t="shared" si="364"/>
        <v>#REF!</v>
      </c>
    </row>
    <row r="1146" spans="1:16" ht="15.75" hidden="1" x14ac:dyDescent="0.25">
      <c r="A1146" s="14">
        <v>21</v>
      </c>
      <c r="B1146" s="14" t="s">
        <v>1822</v>
      </c>
      <c r="C1146" s="8" t="s">
        <v>1129</v>
      </c>
      <c r="D1146" s="28" t="s">
        <v>2463</v>
      </c>
      <c r="E1146" s="12" t="s">
        <v>1631</v>
      </c>
      <c r="F1146" s="1"/>
      <c r="G1146" s="1">
        <v>16.605</v>
      </c>
      <c r="H1146" s="1">
        <v>0.20100000000000001</v>
      </c>
      <c r="I1146" s="12">
        <f t="shared" si="360"/>
        <v>16.806000000000001</v>
      </c>
      <c r="J1146" s="12">
        <v>18657.334999999999</v>
      </c>
      <c r="K1146" s="12"/>
      <c r="L1146" s="12">
        <f t="shared" si="361"/>
        <v>18657.334999999999</v>
      </c>
      <c r="M1146" s="12">
        <f t="shared" si="358"/>
        <v>1110.1591693442817</v>
      </c>
      <c r="N1146" s="12" t="e">
        <f t="shared" si="362"/>
        <v>#REF!</v>
      </c>
      <c r="O1146" s="12" t="e">
        <f t="shared" si="363"/>
        <v>#REF!</v>
      </c>
      <c r="P1146" s="12" t="e">
        <f t="shared" si="364"/>
        <v>#REF!</v>
      </c>
    </row>
    <row r="1147" spans="1:16" ht="15.75" hidden="1" x14ac:dyDescent="0.25">
      <c r="A1147" s="14">
        <v>21</v>
      </c>
      <c r="B1147" s="14" t="s">
        <v>1824</v>
      </c>
      <c r="C1147" s="8" t="s">
        <v>1129</v>
      </c>
      <c r="D1147" s="28" t="s">
        <v>2464</v>
      </c>
      <c r="E1147" s="12" t="s">
        <v>1632</v>
      </c>
      <c r="F1147" s="1"/>
      <c r="G1147" s="1">
        <v>21.794</v>
      </c>
      <c r="H1147" s="1">
        <v>3.9E-2</v>
      </c>
      <c r="I1147" s="12">
        <f t="shared" si="360"/>
        <v>21.833000000000002</v>
      </c>
      <c r="J1147" s="12">
        <f>21612.853-4085.647</f>
        <v>17527.205999999998</v>
      </c>
      <c r="K1147" s="12"/>
      <c r="L1147" s="12">
        <f t="shared" si="361"/>
        <v>17527.205999999998</v>
      </c>
      <c r="M1147" s="12">
        <f t="shared" si="358"/>
        <v>802.78505015343728</v>
      </c>
      <c r="N1147" s="12" t="e">
        <f t="shared" si="362"/>
        <v>#REF!</v>
      </c>
      <c r="O1147" s="12" t="e">
        <f t="shared" si="363"/>
        <v>#REF!</v>
      </c>
      <c r="P1147" s="12" t="e">
        <f t="shared" si="364"/>
        <v>#REF!</v>
      </c>
    </row>
    <row r="1148" spans="1:16" ht="15.75" hidden="1" x14ac:dyDescent="0.25">
      <c r="A1148" s="14">
        <v>21</v>
      </c>
      <c r="B1148" s="14" t="s">
        <v>1826</v>
      </c>
      <c r="C1148" s="8" t="s">
        <v>1129</v>
      </c>
      <c r="D1148" s="28" t="s">
        <v>2465</v>
      </c>
      <c r="E1148" s="12" t="s">
        <v>1633</v>
      </c>
      <c r="F1148" s="1"/>
      <c r="G1148" s="1">
        <v>11.835000000000001</v>
      </c>
      <c r="H1148" s="1">
        <v>9.5000000000000001E-2</v>
      </c>
      <c r="I1148" s="12">
        <f t="shared" si="360"/>
        <v>11.930000000000001</v>
      </c>
      <c r="J1148" s="12">
        <v>7061.9089999999997</v>
      </c>
      <c r="K1148" s="12"/>
      <c r="L1148" s="12">
        <f t="shared" si="361"/>
        <v>7061.9089999999997</v>
      </c>
      <c r="M1148" s="12">
        <f t="shared" si="358"/>
        <v>591.94543168482801</v>
      </c>
      <c r="N1148" s="12" t="e">
        <f t="shared" si="362"/>
        <v>#REF!</v>
      </c>
      <c r="O1148" s="12" t="e">
        <f t="shared" si="363"/>
        <v>#REF!</v>
      </c>
      <c r="P1148" s="12" t="e">
        <f t="shared" si="364"/>
        <v>#REF!</v>
      </c>
    </row>
    <row r="1149" spans="1:16" ht="15.75" hidden="1" x14ac:dyDescent="0.25">
      <c r="A1149" s="14">
        <v>21</v>
      </c>
      <c r="B1149" s="14">
        <v>10</v>
      </c>
      <c r="C1149" s="8" t="s">
        <v>1129</v>
      </c>
      <c r="D1149" s="28" t="s">
        <v>2466</v>
      </c>
      <c r="E1149" s="12" t="s">
        <v>1634</v>
      </c>
      <c r="F1149" s="1"/>
      <c r="G1149" s="1">
        <v>5.39</v>
      </c>
      <c r="H1149" s="1">
        <v>6.0000000000000001E-3</v>
      </c>
      <c r="I1149" s="12">
        <f t="shared" si="360"/>
        <v>5.3959999999999999</v>
      </c>
      <c r="J1149" s="12">
        <f>10551.886-6756.836</f>
        <v>3795.05</v>
      </c>
      <c r="K1149" s="12"/>
      <c r="L1149" s="12">
        <f t="shared" si="361"/>
        <v>3795.05</v>
      </c>
      <c r="M1149" s="12">
        <f t="shared" si="358"/>
        <v>703.30800593031881</v>
      </c>
      <c r="N1149" s="12" t="e">
        <f t="shared" si="362"/>
        <v>#REF!</v>
      </c>
      <c r="O1149" s="12" t="e">
        <f t="shared" si="363"/>
        <v>#REF!</v>
      </c>
      <c r="P1149" s="12" t="e">
        <f t="shared" si="364"/>
        <v>#REF!</v>
      </c>
    </row>
    <row r="1150" spans="1:16" ht="15.75" hidden="1" x14ac:dyDescent="0.25">
      <c r="A1150" s="14">
        <v>21</v>
      </c>
      <c r="B1150" s="14">
        <v>11</v>
      </c>
      <c r="C1150" s="8" t="s">
        <v>1129</v>
      </c>
      <c r="D1150" s="28" t="s">
        <v>2467</v>
      </c>
      <c r="E1150" s="12" t="s">
        <v>1635</v>
      </c>
      <c r="F1150" s="1"/>
      <c r="G1150" s="1">
        <v>59.564</v>
      </c>
      <c r="H1150" s="1">
        <v>2.3290000000000002</v>
      </c>
      <c r="I1150" s="12">
        <f t="shared" si="360"/>
        <v>61.893000000000001</v>
      </c>
      <c r="J1150" s="12">
        <v>47707.165000000001</v>
      </c>
      <c r="K1150" s="12"/>
      <c r="L1150" s="12">
        <f t="shared" si="361"/>
        <v>47707.165000000001</v>
      </c>
      <c r="M1150" s="12">
        <f t="shared" si="358"/>
        <v>770.80065597078828</v>
      </c>
      <c r="N1150" s="12" t="e">
        <f t="shared" si="362"/>
        <v>#REF!</v>
      </c>
      <c r="O1150" s="12" t="e">
        <f t="shared" si="363"/>
        <v>#REF!</v>
      </c>
      <c r="P1150" s="12" t="e">
        <f t="shared" si="364"/>
        <v>#REF!</v>
      </c>
    </row>
    <row r="1151" spans="1:16" ht="15.75" hidden="1" x14ac:dyDescent="0.25">
      <c r="A1151" s="14">
        <v>21</v>
      </c>
      <c r="B1151" s="14">
        <v>12</v>
      </c>
      <c r="C1151" s="8" t="s">
        <v>1129</v>
      </c>
      <c r="D1151" s="28" t="s">
        <v>2468</v>
      </c>
      <c r="E1151" s="12" t="s">
        <v>1636</v>
      </c>
      <c r="F1151" s="1"/>
      <c r="G1151" s="1">
        <v>27.712</v>
      </c>
      <c r="H1151" s="1">
        <v>0.105</v>
      </c>
      <c r="I1151" s="12">
        <f t="shared" si="360"/>
        <v>27.817</v>
      </c>
      <c r="J1151" s="12">
        <f>20797.401-2091.633-3478.18-1895.48</f>
        <v>13332.108000000004</v>
      </c>
      <c r="K1151" s="12"/>
      <c r="L1151" s="12">
        <f t="shared" si="361"/>
        <v>13332.108000000004</v>
      </c>
      <c r="M1151" s="12">
        <f t="shared" si="358"/>
        <v>479.27914584606549</v>
      </c>
      <c r="N1151" s="12" t="e">
        <f t="shared" si="362"/>
        <v>#REF!</v>
      </c>
      <c r="O1151" s="12" t="e">
        <f t="shared" si="363"/>
        <v>#REF!</v>
      </c>
      <c r="P1151" s="12" t="e">
        <f t="shared" si="364"/>
        <v>#REF!</v>
      </c>
    </row>
    <row r="1152" spans="1:16" ht="15.75" hidden="1" x14ac:dyDescent="0.25">
      <c r="A1152" s="14">
        <v>21</v>
      </c>
      <c r="B1152" s="14">
        <v>13</v>
      </c>
      <c r="C1152" s="8" t="s">
        <v>1129</v>
      </c>
      <c r="D1152" s="28" t="s">
        <v>2469</v>
      </c>
      <c r="E1152" s="12" t="s">
        <v>1637</v>
      </c>
      <c r="F1152" s="1"/>
      <c r="G1152" s="1">
        <v>0</v>
      </c>
      <c r="H1152" s="1">
        <v>0</v>
      </c>
      <c r="I1152" s="12">
        <f t="shared" si="360"/>
        <v>0</v>
      </c>
      <c r="J1152" s="12">
        <f>18349.226-2787.404-9924.377-5637.445</f>
        <v>0</v>
      </c>
      <c r="K1152" s="12"/>
      <c r="L1152" s="12">
        <f t="shared" si="361"/>
        <v>0</v>
      </c>
      <c r="M1152" s="12"/>
      <c r="N1152" s="12"/>
      <c r="O1152" s="12"/>
      <c r="P1152" s="12"/>
    </row>
    <row r="1153" spans="1:16" ht="15.75" hidden="1" x14ac:dyDescent="0.25">
      <c r="A1153" s="14">
        <v>21</v>
      </c>
      <c r="B1153" s="14">
        <v>14</v>
      </c>
      <c r="C1153" s="8" t="s">
        <v>1129</v>
      </c>
      <c r="D1153" s="28" t="s">
        <v>2470</v>
      </c>
      <c r="E1153" s="12" t="s">
        <v>1483</v>
      </c>
      <c r="F1153" s="1"/>
      <c r="G1153" s="1">
        <v>4.3780000000000001</v>
      </c>
      <c r="H1153" s="1">
        <v>1.0999999999999999E-2</v>
      </c>
      <c r="I1153" s="12">
        <f t="shared" si="360"/>
        <v>4.3890000000000002</v>
      </c>
      <c r="J1153" s="12">
        <f>13861.732-10366.846</f>
        <v>3494.8860000000004</v>
      </c>
      <c r="K1153" s="12"/>
      <c r="L1153" s="12">
        <f t="shared" si="361"/>
        <v>3494.8860000000004</v>
      </c>
      <c r="M1153" s="12">
        <f t="shared" si="358"/>
        <v>796.28298017771704</v>
      </c>
      <c r="N1153" s="12" t="e">
        <f t="shared" si="362"/>
        <v>#REF!</v>
      </c>
      <c r="O1153" s="12" t="e">
        <f t="shared" si="363"/>
        <v>#REF!</v>
      </c>
      <c r="P1153" s="12" t="e">
        <f t="shared" si="364"/>
        <v>#REF!</v>
      </c>
    </row>
    <row r="1154" spans="1:16" ht="15.75" hidden="1" x14ac:dyDescent="0.25">
      <c r="A1154" s="14">
        <v>21</v>
      </c>
      <c r="B1154" s="14">
        <v>15</v>
      </c>
      <c r="C1154" s="8" t="s">
        <v>1129</v>
      </c>
      <c r="D1154" s="28" t="s">
        <v>2471</v>
      </c>
      <c r="E1154" s="12" t="s">
        <v>1638</v>
      </c>
      <c r="F1154" s="1"/>
      <c r="G1154" s="1">
        <v>2.1880000000000002</v>
      </c>
      <c r="H1154" s="1">
        <v>7.0000000000000001E-3</v>
      </c>
      <c r="I1154" s="12">
        <f t="shared" si="360"/>
        <v>2.1950000000000003</v>
      </c>
      <c r="J1154" s="12">
        <v>930.28099999999995</v>
      </c>
      <c r="K1154" s="12"/>
      <c r="L1154" s="12">
        <f t="shared" si="361"/>
        <v>930.28099999999995</v>
      </c>
      <c r="M1154" s="12">
        <f t="shared" si="358"/>
        <v>423.81822323462404</v>
      </c>
      <c r="N1154" s="12" t="e">
        <f t="shared" si="362"/>
        <v>#REF!</v>
      </c>
      <c r="O1154" s="12" t="e">
        <f t="shared" si="363"/>
        <v>#REF!</v>
      </c>
      <c r="P1154" s="12" t="e">
        <f t="shared" si="364"/>
        <v>#REF!</v>
      </c>
    </row>
    <row r="1155" spans="1:16" ht="15.75" hidden="1" x14ac:dyDescent="0.25">
      <c r="A1155" s="14">
        <v>21</v>
      </c>
      <c r="B1155" s="14">
        <v>16</v>
      </c>
      <c r="C1155" s="8" t="s">
        <v>1129</v>
      </c>
      <c r="D1155" s="28" t="s">
        <v>2472</v>
      </c>
      <c r="E1155" s="12" t="s">
        <v>1639</v>
      </c>
      <c r="F1155" s="1"/>
      <c r="G1155" s="1">
        <v>15.53</v>
      </c>
      <c r="H1155" s="1">
        <v>2.5999999999999999E-2</v>
      </c>
      <c r="I1155" s="12">
        <f t="shared" si="360"/>
        <v>15.555999999999999</v>
      </c>
      <c r="J1155" s="12">
        <f>22234.482-8142.006-2401.122</f>
        <v>11691.353999999999</v>
      </c>
      <c r="K1155" s="12"/>
      <c r="L1155" s="12">
        <f t="shared" si="361"/>
        <v>11691.353999999999</v>
      </c>
      <c r="M1155" s="12">
        <f t="shared" si="358"/>
        <v>751.56556955515555</v>
      </c>
      <c r="N1155" s="12" t="e">
        <f t="shared" si="362"/>
        <v>#REF!</v>
      </c>
      <c r="O1155" s="12" t="e">
        <f t="shared" si="363"/>
        <v>#REF!</v>
      </c>
      <c r="P1155" s="12" t="e">
        <f t="shared" si="364"/>
        <v>#REF!</v>
      </c>
    </row>
    <row r="1156" spans="1:16" ht="15.75" hidden="1" x14ac:dyDescent="0.25">
      <c r="A1156" s="14">
        <v>21</v>
      </c>
      <c r="B1156" s="14">
        <v>17</v>
      </c>
      <c r="C1156" s="8" t="s">
        <v>1129</v>
      </c>
      <c r="D1156" s="28" t="s">
        <v>2473</v>
      </c>
      <c r="E1156" s="12" t="s">
        <v>1640</v>
      </c>
      <c r="F1156" s="1"/>
      <c r="G1156" s="1">
        <v>15.819000000000001</v>
      </c>
      <c r="H1156" s="1">
        <v>0.03</v>
      </c>
      <c r="I1156" s="12">
        <f t="shared" si="360"/>
        <v>15.849</v>
      </c>
      <c r="J1156" s="12">
        <v>14612.707</v>
      </c>
      <c r="K1156" s="12"/>
      <c r="L1156" s="12">
        <f t="shared" si="361"/>
        <v>14612.707</v>
      </c>
      <c r="M1156" s="12">
        <f t="shared" si="358"/>
        <v>921.99552022209605</v>
      </c>
      <c r="N1156" s="12" t="e">
        <f t="shared" si="362"/>
        <v>#REF!</v>
      </c>
      <c r="O1156" s="12" t="e">
        <f t="shared" si="363"/>
        <v>#REF!</v>
      </c>
      <c r="P1156" s="12" t="e">
        <f t="shared" si="364"/>
        <v>#REF!</v>
      </c>
    </row>
    <row r="1157" spans="1:16" ht="15.75" hidden="1" x14ac:dyDescent="0.25">
      <c r="A1157" s="14">
        <v>21</v>
      </c>
      <c r="B1157" s="14">
        <v>18</v>
      </c>
      <c r="C1157" s="8" t="s">
        <v>1129</v>
      </c>
      <c r="D1157" s="28" t="s">
        <v>2474</v>
      </c>
      <c r="E1157" s="12" t="s">
        <v>1641</v>
      </c>
      <c r="F1157" s="1"/>
      <c r="G1157" s="1">
        <v>21.212</v>
      </c>
      <c r="H1157" s="1">
        <v>4.2999999999999997E-2</v>
      </c>
      <c r="I1157" s="12">
        <f t="shared" si="360"/>
        <v>21.254999999999999</v>
      </c>
      <c r="J1157" s="12">
        <v>13915.726000000001</v>
      </c>
      <c r="K1157" s="12"/>
      <c r="L1157" s="12">
        <f t="shared" si="361"/>
        <v>13915.726000000001</v>
      </c>
      <c r="M1157" s="12">
        <f t="shared" si="358"/>
        <v>654.70364620089401</v>
      </c>
      <c r="N1157" s="12" t="e">
        <f t="shared" si="362"/>
        <v>#REF!</v>
      </c>
      <c r="O1157" s="12" t="e">
        <f t="shared" si="363"/>
        <v>#REF!</v>
      </c>
      <c r="P1157" s="12" t="e">
        <f t="shared" si="364"/>
        <v>#REF!</v>
      </c>
    </row>
    <row r="1158" spans="1:16" ht="15.75" hidden="1" x14ac:dyDescent="0.25">
      <c r="A1158" s="14">
        <v>21</v>
      </c>
      <c r="B1158" s="14">
        <v>19</v>
      </c>
      <c r="C1158" s="8" t="s">
        <v>1129</v>
      </c>
      <c r="D1158" s="28" t="s">
        <v>2475</v>
      </c>
      <c r="E1158" s="12" t="s">
        <v>1642</v>
      </c>
      <c r="F1158" s="1"/>
      <c r="G1158" s="1">
        <v>35.540999999999997</v>
      </c>
      <c r="H1158" s="1">
        <v>0.45500000000000002</v>
      </c>
      <c r="I1158" s="12">
        <f t="shared" si="360"/>
        <v>35.995999999999995</v>
      </c>
      <c r="J1158" s="12">
        <v>36650.972000000002</v>
      </c>
      <c r="K1158" s="12"/>
      <c r="L1158" s="12">
        <f t="shared" si="361"/>
        <v>36650.972000000002</v>
      </c>
      <c r="M1158" s="12">
        <f t="shared" si="358"/>
        <v>1018.1956884098234</v>
      </c>
      <c r="N1158" s="12" t="e">
        <f t="shared" si="362"/>
        <v>#REF!</v>
      </c>
      <c r="O1158" s="12" t="e">
        <f t="shared" si="363"/>
        <v>#REF!</v>
      </c>
      <c r="P1158" s="12" t="e">
        <f t="shared" si="364"/>
        <v>#REF!</v>
      </c>
    </row>
    <row r="1159" spans="1:16" ht="15.75" hidden="1" x14ac:dyDescent="0.25">
      <c r="A1159" s="14">
        <v>21</v>
      </c>
      <c r="B1159" s="14">
        <v>20</v>
      </c>
      <c r="C1159" s="8" t="s">
        <v>1129</v>
      </c>
      <c r="D1159" s="28" t="s">
        <v>2476</v>
      </c>
      <c r="E1159" s="12" t="s">
        <v>1643</v>
      </c>
      <c r="F1159" s="1"/>
      <c r="G1159" s="1">
        <v>47.561999999999998</v>
      </c>
      <c r="H1159" s="1">
        <v>0.65600000000000003</v>
      </c>
      <c r="I1159" s="12">
        <f t="shared" si="360"/>
        <v>48.217999999999996</v>
      </c>
      <c r="J1159" s="12">
        <v>31284.35</v>
      </c>
      <c r="K1159" s="12"/>
      <c r="L1159" s="12">
        <f t="shared" si="361"/>
        <v>31284.35</v>
      </c>
      <c r="M1159" s="12">
        <f t="shared" si="358"/>
        <v>648.81061014558884</v>
      </c>
      <c r="N1159" s="12" t="e">
        <f t="shared" si="362"/>
        <v>#REF!</v>
      </c>
      <c r="O1159" s="12" t="e">
        <f t="shared" si="363"/>
        <v>#REF!</v>
      </c>
      <c r="P1159" s="12" t="e">
        <f t="shared" si="364"/>
        <v>#REF!</v>
      </c>
    </row>
    <row r="1160" spans="1:16" ht="15.75" hidden="1" x14ac:dyDescent="0.25">
      <c r="A1160" s="14">
        <v>21</v>
      </c>
      <c r="B1160" s="14">
        <v>21</v>
      </c>
      <c r="C1160" s="8" t="s">
        <v>1129</v>
      </c>
      <c r="D1160" s="28" t="s">
        <v>2477</v>
      </c>
      <c r="E1160" s="12" t="s">
        <v>924</v>
      </c>
      <c r="F1160" s="1"/>
      <c r="G1160" s="1">
        <v>46.119</v>
      </c>
      <c r="H1160" s="1">
        <v>0.29899999999999999</v>
      </c>
      <c r="I1160" s="12">
        <f t="shared" si="360"/>
        <v>46.417999999999999</v>
      </c>
      <c r="J1160" s="12">
        <f>41022.911-3071.692-4975.631</f>
        <v>32975.587999999996</v>
      </c>
      <c r="K1160" s="12"/>
      <c r="L1160" s="12">
        <f t="shared" si="361"/>
        <v>32975.587999999996</v>
      </c>
      <c r="M1160" s="12">
        <f t="shared" si="358"/>
        <v>710.40518764272474</v>
      </c>
      <c r="N1160" s="12" t="e">
        <f t="shared" si="362"/>
        <v>#REF!</v>
      </c>
      <c r="O1160" s="12" t="e">
        <f t="shared" si="363"/>
        <v>#REF!</v>
      </c>
      <c r="P1160" s="12" t="e">
        <f t="shared" si="364"/>
        <v>#REF!</v>
      </c>
    </row>
    <row r="1161" spans="1:16" ht="15.75" hidden="1" x14ac:dyDescent="0.25">
      <c r="A1161" s="14">
        <v>21</v>
      </c>
      <c r="B1161" s="14">
        <v>22</v>
      </c>
      <c r="C1161" s="8" t="s">
        <v>1129</v>
      </c>
      <c r="D1161" s="28" t="s">
        <v>2478</v>
      </c>
      <c r="E1161" s="12" t="s">
        <v>1644</v>
      </c>
      <c r="F1161" s="1"/>
      <c r="G1161" s="1">
        <v>2.585</v>
      </c>
      <c r="H1161" s="1">
        <v>0.17799999999999999</v>
      </c>
      <c r="I1161" s="12">
        <f t="shared" si="360"/>
        <v>2.7629999999999999</v>
      </c>
      <c r="J1161" s="12">
        <v>3000.3739999999998</v>
      </c>
      <c r="K1161" s="12"/>
      <c r="L1161" s="12">
        <f t="shared" si="361"/>
        <v>3000.3739999999998</v>
      </c>
      <c r="M1161" s="12">
        <f t="shared" si="358"/>
        <v>1085.9116901918205</v>
      </c>
      <c r="N1161" s="12" t="e">
        <f t="shared" si="362"/>
        <v>#REF!</v>
      </c>
      <c r="O1161" s="12" t="e">
        <f t="shared" si="363"/>
        <v>#REF!</v>
      </c>
      <c r="P1161" s="12" t="e">
        <f t="shared" si="364"/>
        <v>#REF!</v>
      </c>
    </row>
    <row r="1162" spans="1:16" ht="15.75" hidden="1" x14ac:dyDescent="0.25">
      <c r="A1162" s="15">
        <v>21</v>
      </c>
      <c r="B1162" s="15" t="s">
        <v>1126</v>
      </c>
      <c r="C1162" s="10" t="s">
        <v>1743</v>
      </c>
      <c r="D1162" s="29"/>
      <c r="E1162" s="37" t="s">
        <v>1747</v>
      </c>
      <c r="F1162" s="6"/>
      <c r="G1162" s="37">
        <f t="shared" ref="G1162:L1162" si="365">SUM(G1163:G1188)</f>
        <v>182.35999999999999</v>
      </c>
      <c r="H1162" s="37">
        <f>SUM(H1163:H1188)</f>
        <v>0.78300000000000014</v>
      </c>
      <c r="I1162" s="37">
        <f t="shared" si="365"/>
        <v>183.14299999999994</v>
      </c>
      <c r="J1162" s="37">
        <f t="shared" si="365"/>
        <v>152388.14399999997</v>
      </c>
      <c r="K1162" s="37">
        <f t="shared" si="365"/>
        <v>0</v>
      </c>
      <c r="L1162" s="37">
        <f t="shared" si="365"/>
        <v>152388.14399999997</v>
      </c>
      <c r="M1162" s="37">
        <f t="shared" si="358"/>
        <v>832.071900099922</v>
      </c>
      <c r="N1162" s="37" t="e">
        <f>M1162/$M$1429</f>
        <v>#REF!</v>
      </c>
      <c r="O1162" s="37" t="e">
        <f>SUM(O1163:O1188)</f>
        <v>#REF!</v>
      </c>
      <c r="P1162" s="37" t="e">
        <f>SUM(P1163:P1188)</f>
        <v>#REF!</v>
      </c>
    </row>
    <row r="1163" spans="1:16" ht="15.75" hidden="1" x14ac:dyDescent="0.25">
      <c r="A1163" s="14">
        <v>21</v>
      </c>
      <c r="B1163" s="14">
        <v>23</v>
      </c>
      <c r="C1163" s="8" t="s">
        <v>1744</v>
      </c>
      <c r="D1163" s="28" t="s">
        <v>2479</v>
      </c>
      <c r="E1163" s="12" t="s">
        <v>1789</v>
      </c>
      <c r="F1163" s="1"/>
      <c r="G1163" s="1">
        <v>3.137</v>
      </c>
      <c r="H1163" s="1">
        <v>6.0000000000000001E-3</v>
      </c>
      <c r="I1163" s="12">
        <f t="shared" ref="I1163:I1188" si="366">H1163+G1163</f>
        <v>3.1429999999999998</v>
      </c>
      <c r="J1163" s="12">
        <v>2413.44</v>
      </c>
      <c r="K1163" s="12"/>
      <c r="L1163" s="12">
        <f t="shared" ref="L1163:L1186" si="367">J1163+K1163</f>
        <v>2413.44</v>
      </c>
      <c r="M1163" s="12">
        <f t="shared" si="358"/>
        <v>767.87782373528478</v>
      </c>
      <c r="N1163" s="12" t="e">
        <f t="shared" ref="N1163:N1188" si="368">M1163/$M$1433</f>
        <v>#REF!</v>
      </c>
      <c r="O1163" s="12" t="e">
        <f t="shared" ref="O1163:O1188" si="369">ROUND(IF(N1163&lt;110%,0,(M1163-$M$1433*1.1)*0.8)*I1163,1)</f>
        <v>#REF!</v>
      </c>
      <c r="P1163" s="12" t="e">
        <f t="shared" ref="P1163:P1188" si="370">ROUND(IF(N1163&gt;90%,0,(-M1163+$M$1433*0.9)*0.8)*I1163,1)</f>
        <v>#REF!</v>
      </c>
    </row>
    <row r="1164" spans="1:16" ht="15.75" hidden="1" x14ac:dyDescent="0.25">
      <c r="A1164" s="14">
        <v>21</v>
      </c>
      <c r="B1164" s="14">
        <v>24</v>
      </c>
      <c r="C1164" s="8" t="s">
        <v>1744</v>
      </c>
      <c r="D1164" s="28" t="s">
        <v>437</v>
      </c>
      <c r="E1164" s="12" t="s">
        <v>438</v>
      </c>
      <c r="F1164" s="1"/>
      <c r="G1164" s="1">
        <v>5.7039999999999997</v>
      </c>
      <c r="H1164" s="1">
        <v>2.5000000000000001E-2</v>
      </c>
      <c r="I1164" s="12">
        <f t="shared" si="366"/>
        <v>5.7290000000000001</v>
      </c>
      <c r="J1164" s="12">
        <v>3165.2069999999999</v>
      </c>
      <c r="K1164" s="12"/>
      <c r="L1164" s="12">
        <f t="shared" si="367"/>
        <v>3165.2069999999999</v>
      </c>
      <c r="M1164" s="12">
        <f t="shared" si="358"/>
        <v>552.48856694012909</v>
      </c>
      <c r="N1164" s="12" t="e">
        <f t="shared" si="368"/>
        <v>#REF!</v>
      </c>
      <c r="O1164" s="12" t="e">
        <f t="shared" si="369"/>
        <v>#REF!</v>
      </c>
      <c r="P1164" s="12" t="e">
        <f t="shared" si="370"/>
        <v>#REF!</v>
      </c>
    </row>
    <row r="1165" spans="1:16" ht="15.75" hidden="1" x14ac:dyDescent="0.25">
      <c r="A1165" s="14">
        <v>21</v>
      </c>
      <c r="B1165" s="14">
        <v>25</v>
      </c>
      <c r="C1165" s="8" t="s">
        <v>1744</v>
      </c>
      <c r="D1165" s="28" t="s">
        <v>439</v>
      </c>
      <c r="E1165" s="12" t="s">
        <v>440</v>
      </c>
      <c r="F1165" s="1"/>
      <c r="G1165" s="1">
        <v>15.289</v>
      </c>
      <c r="H1165" s="1">
        <v>5.2999999999999999E-2</v>
      </c>
      <c r="I1165" s="12">
        <f t="shared" si="366"/>
        <v>15.342000000000001</v>
      </c>
      <c r="J1165" s="12">
        <v>17256.511999999999</v>
      </c>
      <c r="K1165" s="12"/>
      <c r="L1165" s="12">
        <f t="shared" si="367"/>
        <v>17256.511999999999</v>
      </c>
      <c r="M1165" s="12">
        <f t="shared" si="358"/>
        <v>1124.7889453786988</v>
      </c>
      <c r="N1165" s="12" t="e">
        <f t="shared" si="368"/>
        <v>#REF!</v>
      </c>
      <c r="O1165" s="12" t="e">
        <f t="shared" si="369"/>
        <v>#REF!</v>
      </c>
      <c r="P1165" s="12" t="e">
        <f t="shared" si="370"/>
        <v>#REF!</v>
      </c>
    </row>
    <row r="1166" spans="1:16" ht="15.75" hidden="1" x14ac:dyDescent="0.25">
      <c r="A1166" s="14">
        <v>21</v>
      </c>
      <c r="B1166" s="14">
        <v>26</v>
      </c>
      <c r="C1166" s="8" t="s">
        <v>1744</v>
      </c>
      <c r="D1166" s="28" t="s">
        <v>441</v>
      </c>
      <c r="E1166" s="12" t="s">
        <v>442</v>
      </c>
      <c r="F1166" s="1"/>
      <c r="G1166" s="1">
        <v>3.9260000000000002</v>
      </c>
      <c r="H1166" s="1">
        <v>1.4999999999999999E-2</v>
      </c>
      <c r="I1166" s="12">
        <f t="shared" si="366"/>
        <v>3.9410000000000003</v>
      </c>
      <c r="J1166" s="12">
        <v>3975.1289999999999</v>
      </c>
      <c r="K1166" s="12"/>
      <c r="L1166" s="12">
        <f t="shared" si="367"/>
        <v>3975.1289999999999</v>
      </c>
      <c r="M1166" s="12">
        <f t="shared" si="358"/>
        <v>1008.6599847754376</v>
      </c>
      <c r="N1166" s="12" t="e">
        <f t="shared" si="368"/>
        <v>#REF!</v>
      </c>
      <c r="O1166" s="12" t="e">
        <f t="shared" si="369"/>
        <v>#REF!</v>
      </c>
      <c r="P1166" s="12" t="e">
        <f t="shared" si="370"/>
        <v>#REF!</v>
      </c>
    </row>
    <row r="1167" spans="1:16" ht="15.75" hidden="1" x14ac:dyDescent="0.25">
      <c r="A1167" s="14">
        <v>21</v>
      </c>
      <c r="B1167" s="14">
        <v>27</v>
      </c>
      <c r="C1167" s="8" t="s">
        <v>1744</v>
      </c>
      <c r="D1167" s="28" t="s">
        <v>443</v>
      </c>
      <c r="E1167" s="12" t="s">
        <v>444</v>
      </c>
      <c r="F1167" s="1"/>
      <c r="G1167" s="1">
        <v>16.161999999999999</v>
      </c>
      <c r="H1167" s="1">
        <v>0.112</v>
      </c>
      <c r="I1167" s="12">
        <f t="shared" si="366"/>
        <v>16.273999999999997</v>
      </c>
      <c r="J1167" s="12">
        <v>15998.11</v>
      </c>
      <c r="K1167" s="12"/>
      <c r="L1167" s="12">
        <f t="shared" si="367"/>
        <v>15998.11</v>
      </c>
      <c r="M1167" s="12">
        <f t="shared" si="358"/>
        <v>983.04719183974453</v>
      </c>
      <c r="N1167" s="12" t="e">
        <f t="shared" si="368"/>
        <v>#REF!</v>
      </c>
      <c r="O1167" s="12" t="e">
        <f t="shared" si="369"/>
        <v>#REF!</v>
      </c>
      <c r="P1167" s="12" t="e">
        <f t="shared" si="370"/>
        <v>#REF!</v>
      </c>
    </row>
    <row r="1168" spans="1:16" ht="15.75" hidden="1" x14ac:dyDescent="0.25">
      <c r="A1168" s="14">
        <v>21</v>
      </c>
      <c r="B1168" s="14">
        <v>28</v>
      </c>
      <c r="C1168" s="8" t="s">
        <v>1744</v>
      </c>
      <c r="D1168" s="28" t="s">
        <v>445</v>
      </c>
      <c r="E1168" s="12" t="s">
        <v>446</v>
      </c>
      <c r="F1168" s="1"/>
      <c r="G1168" s="1">
        <v>4.5540000000000003</v>
      </c>
      <c r="H1168" s="1">
        <v>3.0000000000000001E-3</v>
      </c>
      <c r="I1168" s="12">
        <f t="shared" si="366"/>
        <v>4.5570000000000004</v>
      </c>
      <c r="J1168" s="12">
        <v>5186.13</v>
      </c>
      <c r="K1168" s="12"/>
      <c r="L1168" s="12">
        <f t="shared" si="367"/>
        <v>5186.13</v>
      </c>
      <c r="M1168" s="12">
        <f t="shared" si="358"/>
        <v>1138.0579328505596</v>
      </c>
      <c r="N1168" s="12" t="e">
        <f t="shared" si="368"/>
        <v>#REF!</v>
      </c>
      <c r="O1168" s="12" t="e">
        <f t="shared" si="369"/>
        <v>#REF!</v>
      </c>
      <c r="P1168" s="12" t="e">
        <f t="shared" si="370"/>
        <v>#REF!</v>
      </c>
    </row>
    <row r="1169" spans="1:16" ht="15.75" hidden="1" x14ac:dyDescent="0.25">
      <c r="A1169" s="14">
        <v>21</v>
      </c>
      <c r="B1169" s="14">
        <v>29</v>
      </c>
      <c r="C1169" s="8" t="s">
        <v>1744</v>
      </c>
      <c r="D1169" s="28" t="s">
        <v>447</v>
      </c>
      <c r="E1169" s="12" t="s">
        <v>925</v>
      </c>
      <c r="F1169" s="1"/>
      <c r="G1169" s="1">
        <v>7.0890000000000004</v>
      </c>
      <c r="H1169" s="1">
        <v>3.6999999999999998E-2</v>
      </c>
      <c r="I1169" s="12">
        <f t="shared" si="366"/>
        <v>7.1260000000000003</v>
      </c>
      <c r="J1169" s="12">
        <v>2125.5349999999999</v>
      </c>
      <c r="K1169" s="12"/>
      <c r="L1169" s="12">
        <f t="shared" si="367"/>
        <v>2125.5349999999999</v>
      </c>
      <c r="M1169" s="12">
        <f t="shared" si="358"/>
        <v>298.27883805781642</v>
      </c>
      <c r="N1169" s="12" t="e">
        <f t="shared" si="368"/>
        <v>#REF!</v>
      </c>
      <c r="O1169" s="12" t="e">
        <f t="shared" si="369"/>
        <v>#REF!</v>
      </c>
      <c r="P1169" s="12" t="e">
        <f t="shared" si="370"/>
        <v>#REF!</v>
      </c>
    </row>
    <row r="1170" spans="1:16" ht="15.75" hidden="1" x14ac:dyDescent="0.25">
      <c r="A1170" s="14">
        <v>21</v>
      </c>
      <c r="B1170" s="14">
        <v>30</v>
      </c>
      <c r="C1170" s="8" t="s">
        <v>1744</v>
      </c>
      <c r="D1170" s="28" t="s">
        <v>448</v>
      </c>
      <c r="E1170" s="12" t="s">
        <v>449</v>
      </c>
      <c r="F1170" s="1"/>
      <c r="G1170" s="1">
        <v>5.1539999999999999</v>
      </c>
      <c r="H1170" s="1">
        <v>1.4E-2</v>
      </c>
      <c r="I1170" s="12">
        <f t="shared" si="366"/>
        <v>5.1680000000000001</v>
      </c>
      <c r="J1170" s="12">
        <v>2243.721</v>
      </c>
      <c r="K1170" s="12"/>
      <c r="L1170" s="12">
        <f t="shared" si="367"/>
        <v>2243.721</v>
      </c>
      <c r="M1170" s="12">
        <f t="shared" si="358"/>
        <v>434.15654024767798</v>
      </c>
      <c r="N1170" s="12" t="e">
        <f t="shared" si="368"/>
        <v>#REF!</v>
      </c>
      <c r="O1170" s="12" t="e">
        <f t="shared" si="369"/>
        <v>#REF!</v>
      </c>
      <c r="P1170" s="12" t="e">
        <f t="shared" si="370"/>
        <v>#REF!</v>
      </c>
    </row>
    <row r="1171" spans="1:16" ht="15.75" hidden="1" x14ac:dyDescent="0.25">
      <c r="A1171" s="14">
        <v>21</v>
      </c>
      <c r="B1171" s="14">
        <v>31</v>
      </c>
      <c r="C1171" s="8" t="s">
        <v>1744</v>
      </c>
      <c r="D1171" s="28" t="s">
        <v>450</v>
      </c>
      <c r="E1171" s="12" t="s">
        <v>451</v>
      </c>
      <c r="F1171" s="1"/>
      <c r="G1171" s="1">
        <v>5.0019999999999998</v>
      </c>
      <c r="H1171" s="1">
        <v>3.1E-2</v>
      </c>
      <c r="I1171" s="12">
        <f t="shared" si="366"/>
        <v>5.0329999999999995</v>
      </c>
      <c r="J1171" s="12">
        <v>3648.9459999999999</v>
      </c>
      <c r="K1171" s="12"/>
      <c r="L1171" s="12">
        <f t="shared" si="367"/>
        <v>3648.9459999999999</v>
      </c>
      <c r="M1171" s="12">
        <f t="shared" si="358"/>
        <v>725.00417246175255</v>
      </c>
      <c r="N1171" s="12" t="e">
        <f t="shared" si="368"/>
        <v>#REF!</v>
      </c>
      <c r="O1171" s="12" t="e">
        <f t="shared" si="369"/>
        <v>#REF!</v>
      </c>
      <c r="P1171" s="12" t="e">
        <f t="shared" si="370"/>
        <v>#REF!</v>
      </c>
    </row>
    <row r="1172" spans="1:16" ht="15.75" hidden="1" x14ac:dyDescent="0.25">
      <c r="A1172" s="14">
        <v>21</v>
      </c>
      <c r="B1172" s="14">
        <v>32</v>
      </c>
      <c r="C1172" s="8" t="s">
        <v>1744</v>
      </c>
      <c r="D1172" s="28" t="s">
        <v>452</v>
      </c>
      <c r="E1172" s="12" t="s">
        <v>453</v>
      </c>
      <c r="F1172" s="1"/>
      <c r="G1172" s="1">
        <v>3.798</v>
      </c>
      <c r="H1172" s="1">
        <v>2.8000000000000001E-2</v>
      </c>
      <c r="I1172" s="12">
        <f t="shared" si="366"/>
        <v>3.8260000000000001</v>
      </c>
      <c r="J1172" s="12">
        <v>2066.096</v>
      </c>
      <c r="K1172" s="12"/>
      <c r="L1172" s="12">
        <f t="shared" si="367"/>
        <v>2066.096</v>
      </c>
      <c r="M1172" s="12">
        <f t="shared" si="358"/>
        <v>540.01463669628856</v>
      </c>
      <c r="N1172" s="12" t="e">
        <f t="shared" si="368"/>
        <v>#REF!</v>
      </c>
      <c r="O1172" s="12" t="e">
        <f t="shared" si="369"/>
        <v>#REF!</v>
      </c>
      <c r="P1172" s="12" t="e">
        <f t="shared" si="370"/>
        <v>#REF!</v>
      </c>
    </row>
    <row r="1173" spans="1:16" ht="15.75" hidden="1" x14ac:dyDescent="0.25">
      <c r="A1173" s="14">
        <v>21</v>
      </c>
      <c r="B1173" s="14">
        <v>33</v>
      </c>
      <c r="C1173" s="8" t="s">
        <v>1744</v>
      </c>
      <c r="D1173" s="28" t="s">
        <v>454</v>
      </c>
      <c r="E1173" s="12" t="s">
        <v>455</v>
      </c>
      <c r="F1173" s="1"/>
      <c r="G1173" s="1">
        <v>4.4569999999999999</v>
      </c>
      <c r="H1173" s="1">
        <v>1.7000000000000001E-2</v>
      </c>
      <c r="I1173" s="12">
        <f t="shared" si="366"/>
        <v>4.4740000000000002</v>
      </c>
      <c r="J1173" s="12">
        <v>9139.0859999999993</v>
      </c>
      <c r="K1173" s="12"/>
      <c r="L1173" s="12">
        <f t="shared" si="367"/>
        <v>9139.0859999999993</v>
      </c>
      <c r="M1173" s="12">
        <f t="shared" si="358"/>
        <v>2042.7103263299059</v>
      </c>
      <c r="N1173" s="12" t="e">
        <f t="shared" si="368"/>
        <v>#REF!</v>
      </c>
      <c r="O1173" s="12" t="e">
        <f t="shared" si="369"/>
        <v>#REF!</v>
      </c>
      <c r="P1173" s="12" t="e">
        <f t="shared" si="370"/>
        <v>#REF!</v>
      </c>
    </row>
    <row r="1174" spans="1:16" ht="15.75" hidden="1" x14ac:dyDescent="0.25">
      <c r="A1174" s="14">
        <v>21</v>
      </c>
      <c r="B1174" s="14">
        <v>34</v>
      </c>
      <c r="C1174" s="8" t="s">
        <v>1744</v>
      </c>
      <c r="D1174" s="28" t="s">
        <v>456</v>
      </c>
      <c r="E1174" s="12" t="s">
        <v>457</v>
      </c>
      <c r="F1174" s="1"/>
      <c r="G1174" s="1">
        <v>5.6050000000000004</v>
      </c>
      <c r="H1174" s="1">
        <v>0.01</v>
      </c>
      <c r="I1174" s="12">
        <f t="shared" si="366"/>
        <v>5.6150000000000002</v>
      </c>
      <c r="J1174" s="12">
        <v>5714.4610000000002</v>
      </c>
      <c r="K1174" s="12"/>
      <c r="L1174" s="12">
        <f t="shared" si="367"/>
        <v>5714.4610000000002</v>
      </c>
      <c r="M1174" s="12">
        <f t="shared" si="358"/>
        <v>1017.713446126447</v>
      </c>
      <c r="N1174" s="12" t="e">
        <f t="shared" si="368"/>
        <v>#REF!</v>
      </c>
      <c r="O1174" s="12" t="e">
        <f t="shared" si="369"/>
        <v>#REF!</v>
      </c>
      <c r="P1174" s="12" t="e">
        <f t="shared" si="370"/>
        <v>#REF!</v>
      </c>
    </row>
    <row r="1175" spans="1:16" ht="15.75" hidden="1" x14ac:dyDescent="0.25">
      <c r="A1175" s="14">
        <v>21</v>
      </c>
      <c r="B1175" s="14">
        <v>36</v>
      </c>
      <c r="C1175" s="8" t="s">
        <v>1744</v>
      </c>
      <c r="D1175" s="28" t="s">
        <v>561</v>
      </c>
      <c r="E1175" s="38" t="s">
        <v>563</v>
      </c>
      <c r="F1175" s="39"/>
      <c r="G1175" s="39">
        <v>12.429</v>
      </c>
      <c r="H1175" s="39">
        <v>4.4999999999999998E-2</v>
      </c>
      <c r="I1175" s="12">
        <f t="shared" si="366"/>
        <v>12.474</v>
      </c>
      <c r="J1175" s="38">
        <v>3071.692</v>
      </c>
      <c r="K1175" s="38"/>
      <c r="L1175" s="38">
        <f t="shared" si="367"/>
        <v>3071.692</v>
      </c>
      <c r="M1175" s="38">
        <f t="shared" si="358"/>
        <v>246.24755491422158</v>
      </c>
      <c r="N1175" s="12" t="e">
        <f t="shared" si="368"/>
        <v>#REF!</v>
      </c>
      <c r="O1175" s="12" t="e">
        <f t="shared" si="369"/>
        <v>#REF!</v>
      </c>
      <c r="P1175" s="12" t="e">
        <f t="shared" si="370"/>
        <v>#REF!</v>
      </c>
    </row>
    <row r="1176" spans="1:16" ht="15.75" hidden="1" x14ac:dyDescent="0.25">
      <c r="A1176" s="14">
        <v>21</v>
      </c>
      <c r="B1176" s="14">
        <v>37</v>
      </c>
      <c r="C1176" s="8" t="s">
        <v>1744</v>
      </c>
      <c r="D1176" s="28" t="s">
        <v>562</v>
      </c>
      <c r="E1176" s="42" t="s">
        <v>926</v>
      </c>
      <c r="F1176" s="43"/>
      <c r="G1176" s="43">
        <v>12.505000000000001</v>
      </c>
      <c r="H1176" s="43">
        <v>4.5999999999999999E-2</v>
      </c>
      <c r="I1176" s="12">
        <f t="shared" si="366"/>
        <v>12.551</v>
      </c>
      <c r="J1176" s="42">
        <v>9924.3770000000004</v>
      </c>
      <c r="K1176" s="42"/>
      <c r="L1176" s="42">
        <f t="shared" si="367"/>
        <v>9924.3770000000004</v>
      </c>
      <c r="M1176" s="42">
        <f t="shared" si="358"/>
        <v>790.72400605529447</v>
      </c>
      <c r="N1176" s="12" t="e">
        <f t="shared" si="368"/>
        <v>#REF!</v>
      </c>
      <c r="O1176" s="12" t="e">
        <f t="shared" si="369"/>
        <v>#REF!</v>
      </c>
      <c r="P1176" s="12" t="e">
        <f t="shared" si="370"/>
        <v>#REF!</v>
      </c>
    </row>
    <row r="1177" spans="1:16" ht="15.75" hidden="1" x14ac:dyDescent="0.25">
      <c r="A1177" s="49">
        <v>21</v>
      </c>
      <c r="B1177" s="49">
        <v>38</v>
      </c>
      <c r="C1177" s="50" t="s">
        <v>1744</v>
      </c>
      <c r="D1177" s="51" t="s">
        <v>927</v>
      </c>
      <c r="E1177" s="52" t="s">
        <v>928</v>
      </c>
      <c r="F1177" s="53"/>
      <c r="G1177" s="53">
        <v>7.74</v>
      </c>
      <c r="H1177" s="53">
        <v>4.7E-2</v>
      </c>
      <c r="I1177" s="12">
        <f t="shared" si="366"/>
        <v>7.7869999999999999</v>
      </c>
      <c r="J1177" s="52">
        <v>2758.0079999999998</v>
      </c>
      <c r="K1177" s="52"/>
      <c r="L1177" s="52">
        <f t="shared" si="367"/>
        <v>2758.0079999999998</v>
      </c>
      <c r="M1177" s="52">
        <f t="shared" si="358"/>
        <v>354.18107101579551</v>
      </c>
      <c r="N1177" s="12" t="e">
        <f t="shared" si="368"/>
        <v>#REF!</v>
      </c>
      <c r="O1177" s="12" t="e">
        <f t="shared" si="369"/>
        <v>#REF!</v>
      </c>
      <c r="P1177" s="12" t="e">
        <f t="shared" si="370"/>
        <v>#REF!</v>
      </c>
    </row>
    <row r="1178" spans="1:16" ht="15.75" hidden="1" x14ac:dyDescent="0.25">
      <c r="A1178" s="49">
        <v>21</v>
      </c>
      <c r="B1178" s="49">
        <v>39</v>
      </c>
      <c r="C1178" s="50" t="s">
        <v>1744</v>
      </c>
      <c r="D1178" s="51" t="s">
        <v>929</v>
      </c>
      <c r="E1178" s="52" t="s">
        <v>930</v>
      </c>
      <c r="F1178" s="53"/>
      <c r="G1178" s="53">
        <v>13.1</v>
      </c>
      <c r="H1178" s="53">
        <v>0.14299999999999999</v>
      </c>
      <c r="I1178" s="12">
        <f t="shared" si="366"/>
        <v>13.243</v>
      </c>
      <c r="J1178" s="52">
        <v>11083.464</v>
      </c>
      <c r="K1178" s="52"/>
      <c r="L1178" s="52">
        <f t="shared" si="367"/>
        <v>11083.464</v>
      </c>
      <c r="M1178" s="52">
        <f t="shared" si="358"/>
        <v>836.93000075511588</v>
      </c>
      <c r="N1178" s="12" t="e">
        <f t="shared" si="368"/>
        <v>#REF!</v>
      </c>
      <c r="O1178" s="12" t="e">
        <f t="shared" si="369"/>
        <v>#REF!</v>
      </c>
      <c r="P1178" s="12" t="e">
        <f t="shared" si="370"/>
        <v>#REF!</v>
      </c>
    </row>
    <row r="1179" spans="1:16" ht="15.75" hidden="1" x14ac:dyDescent="0.25">
      <c r="A1179" s="49">
        <v>21</v>
      </c>
      <c r="B1179" s="49">
        <v>40</v>
      </c>
      <c r="C1179" s="50" t="s">
        <v>1744</v>
      </c>
      <c r="D1179" s="51" t="s">
        <v>931</v>
      </c>
      <c r="E1179" s="52" t="s">
        <v>932</v>
      </c>
      <c r="F1179" s="53"/>
      <c r="G1179" s="53">
        <v>3.903</v>
      </c>
      <c r="H1179" s="53">
        <v>0</v>
      </c>
      <c r="I1179" s="12">
        <f t="shared" si="366"/>
        <v>3.903</v>
      </c>
      <c r="J1179" s="52">
        <v>4085.6469999999999</v>
      </c>
      <c r="K1179" s="52"/>
      <c r="L1179" s="52">
        <f t="shared" si="367"/>
        <v>4085.6469999999999</v>
      </c>
      <c r="M1179" s="52">
        <f t="shared" si="358"/>
        <v>1046.7965667435305</v>
      </c>
      <c r="N1179" s="12" t="e">
        <f t="shared" si="368"/>
        <v>#REF!</v>
      </c>
      <c r="O1179" s="12" t="e">
        <f t="shared" si="369"/>
        <v>#REF!</v>
      </c>
      <c r="P1179" s="12" t="e">
        <f t="shared" si="370"/>
        <v>#REF!</v>
      </c>
    </row>
    <row r="1180" spans="1:16" ht="15.75" hidden="1" x14ac:dyDescent="0.25">
      <c r="A1180" s="49">
        <v>21</v>
      </c>
      <c r="B1180" s="49">
        <v>41</v>
      </c>
      <c r="C1180" s="50" t="s">
        <v>1744</v>
      </c>
      <c r="D1180" s="51" t="s">
        <v>933</v>
      </c>
      <c r="E1180" s="52" t="s">
        <v>934</v>
      </c>
      <c r="F1180" s="53"/>
      <c r="G1180" s="53">
        <v>6.4880000000000004</v>
      </c>
      <c r="H1180" s="53">
        <v>2.4E-2</v>
      </c>
      <c r="I1180" s="12">
        <f t="shared" si="366"/>
        <v>6.5120000000000005</v>
      </c>
      <c r="J1180" s="52">
        <v>6756.8360000000002</v>
      </c>
      <c r="K1180" s="52"/>
      <c r="L1180" s="52">
        <f t="shared" si="367"/>
        <v>6756.8360000000002</v>
      </c>
      <c r="M1180" s="52">
        <f t="shared" si="358"/>
        <v>1037.5976658476659</v>
      </c>
      <c r="N1180" s="12" t="e">
        <f t="shared" si="368"/>
        <v>#REF!</v>
      </c>
      <c r="O1180" s="12" t="e">
        <f t="shared" si="369"/>
        <v>#REF!</v>
      </c>
      <c r="P1180" s="12" t="e">
        <f t="shared" si="370"/>
        <v>#REF!</v>
      </c>
    </row>
    <row r="1181" spans="1:16" ht="15.75" hidden="1" x14ac:dyDescent="0.25">
      <c r="A1181" s="49">
        <v>21</v>
      </c>
      <c r="B1181" s="49">
        <v>42</v>
      </c>
      <c r="C1181" s="50" t="s">
        <v>1744</v>
      </c>
      <c r="D1181" s="51" t="s">
        <v>935</v>
      </c>
      <c r="E1181" s="52" t="s">
        <v>936</v>
      </c>
      <c r="F1181" s="53"/>
      <c r="G1181" s="53">
        <v>4.0860000000000003</v>
      </c>
      <c r="H1181" s="53">
        <v>7.0000000000000001E-3</v>
      </c>
      <c r="I1181" s="12">
        <f t="shared" si="366"/>
        <v>4.093</v>
      </c>
      <c r="J1181" s="52">
        <v>3478.18</v>
      </c>
      <c r="K1181" s="52"/>
      <c r="L1181" s="52">
        <f t="shared" si="367"/>
        <v>3478.18</v>
      </c>
      <c r="M1181" s="52">
        <f t="shared" si="358"/>
        <v>849.78744197410208</v>
      </c>
      <c r="N1181" s="12" t="e">
        <f t="shared" si="368"/>
        <v>#REF!</v>
      </c>
      <c r="O1181" s="12" t="e">
        <f t="shared" si="369"/>
        <v>#REF!</v>
      </c>
      <c r="P1181" s="12" t="e">
        <f t="shared" si="370"/>
        <v>#REF!</v>
      </c>
    </row>
    <row r="1182" spans="1:16" ht="15.75" hidden="1" x14ac:dyDescent="0.25">
      <c r="A1182" s="49">
        <v>21</v>
      </c>
      <c r="B1182" s="49">
        <v>43</v>
      </c>
      <c r="C1182" s="50" t="s">
        <v>1744</v>
      </c>
      <c r="D1182" s="51" t="s">
        <v>937</v>
      </c>
      <c r="E1182" s="52" t="s">
        <v>938</v>
      </c>
      <c r="F1182" s="53"/>
      <c r="G1182" s="53">
        <v>3.8980000000000001</v>
      </c>
      <c r="H1182" s="53">
        <v>0.02</v>
      </c>
      <c r="I1182" s="12">
        <f t="shared" si="366"/>
        <v>3.9180000000000001</v>
      </c>
      <c r="J1182" s="52">
        <v>2091.6329999999998</v>
      </c>
      <c r="K1182" s="52"/>
      <c r="L1182" s="52">
        <f t="shared" si="367"/>
        <v>2091.6329999999998</v>
      </c>
      <c r="M1182" s="52">
        <f t="shared" si="358"/>
        <v>533.85222052067377</v>
      </c>
      <c r="N1182" s="12" t="e">
        <f t="shared" si="368"/>
        <v>#REF!</v>
      </c>
      <c r="O1182" s="12" t="e">
        <f t="shared" si="369"/>
        <v>#REF!</v>
      </c>
      <c r="P1182" s="12" t="e">
        <f t="shared" si="370"/>
        <v>#REF!</v>
      </c>
    </row>
    <row r="1183" spans="1:16" ht="15.75" hidden="1" x14ac:dyDescent="0.25">
      <c r="A1183" s="49">
        <v>21</v>
      </c>
      <c r="B1183" s="49">
        <v>44</v>
      </c>
      <c r="C1183" s="50" t="s">
        <v>1744</v>
      </c>
      <c r="D1183" s="51" t="s">
        <v>939</v>
      </c>
      <c r="E1183" s="52" t="s">
        <v>940</v>
      </c>
      <c r="F1183" s="53"/>
      <c r="G1183" s="53">
        <v>4.0880000000000001</v>
      </c>
      <c r="H1183" s="53">
        <v>2.5999999999999999E-2</v>
      </c>
      <c r="I1183" s="12">
        <f t="shared" si="366"/>
        <v>4.1139999999999999</v>
      </c>
      <c r="J1183" s="52">
        <v>5637.4449999999997</v>
      </c>
      <c r="K1183" s="52"/>
      <c r="L1183" s="52">
        <f t="shared" si="367"/>
        <v>5637.4449999999997</v>
      </c>
      <c r="M1183" s="52">
        <f t="shared" si="358"/>
        <v>1370.307486631016</v>
      </c>
      <c r="N1183" s="12" t="e">
        <f t="shared" si="368"/>
        <v>#REF!</v>
      </c>
      <c r="O1183" s="12" t="e">
        <f t="shared" si="369"/>
        <v>#REF!</v>
      </c>
      <c r="P1183" s="12" t="e">
        <f t="shared" si="370"/>
        <v>#REF!</v>
      </c>
    </row>
    <row r="1184" spans="1:16" ht="15.75" hidden="1" x14ac:dyDescent="0.25">
      <c r="A1184" s="49">
        <v>21</v>
      </c>
      <c r="B1184" s="49">
        <v>45</v>
      </c>
      <c r="C1184" s="50" t="s">
        <v>1744</v>
      </c>
      <c r="D1184" s="51" t="s">
        <v>941</v>
      </c>
      <c r="E1184" s="52" t="s">
        <v>942</v>
      </c>
      <c r="F1184" s="53"/>
      <c r="G1184" s="53">
        <v>9.4649999999999999</v>
      </c>
      <c r="H1184" s="53">
        <v>4.5999999999999999E-2</v>
      </c>
      <c r="I1184" s="12">
        <f t="shared" si="366"/>
        <v>9.5109999999999992</v>
      </c>
      <c r="J1184" s="52">
        <v>10366.846</v>
      </c>
      <c r="K1184" s="52"/>
      <c r="L1184" s="52">
        <f t="shared" si="367"/>
        <v>10366.846</v>
      </c>
      <c r="M1184" s="52">
        <f t="shared" si="358"/>
        <v>1089.9848596362108</v>
      </c>
      <c r="N1184" s="12" t="e">
        <f t="shared" si="368"/>
        <v>#REF!</v>
      </c>
      <c r="O1184" s="12" t="e">
        <f t="shared" si="369"/>
        <v>#REF!</v>
      </c>
      <c r="P1184" s="12" t="e">
        <f t="shared" si="370"/>
        <v>#REF!</v>
      </c>
    </row>
    <row r="1185" spans="1:16" ht="15.75" hidden="1" x14ac:dyDescent="0.25">
      <c r="A1185" s="49">
        <v>21</v>
      </c>
      <c r="B1185" s="49">
        <v>46</v>
      </c>
      <c r="C1185" s="50" t="s">
        <v>1744</v>
      </c>
      <c r="D1185" s="51" t="s">
        <v>943</v>
      </c>
      <c r="E1185" s="52" t="s">
        <v>944</v>
      </c>
      <c r="F1185" s="53"/>
      <c r="G1185" s="53">
        <v>5.8239999999999998</v>
      </c>
      <c r="H1185" s="53">
        <v>1.4E-2</v>
      </c>
      <c r="I1185" s="12">
        <f t="shared" si="366"/>
        <v>5.8380000000000001</v>
      </c>
      <c r="J1185" s="52">
        <v>4975.6310000000003</v>
      </c>
      <c r="K1185" s="52"/>
      <c r="L1185" s="52">
        <f t="shared" si="367"/>
        <v>4975.6310000000003</v>
      </c>
      <c r="M1185" s="52">
        <f t="shared" si="358"/>
        <v>852.28348749571774</v>
      </c>
      <c r="N1185" s="12" t="e">
        <f t="shared" si="368"/>
        <v>#REF!</v>
      </c>
      <c r="O1185" s="12" t="e">
        <f t="shared" si="369"/>
        <v>#REF!</v>
      </c>
      <c r="P1185" s="12" t="e">
        <f t="shared" si="370"/>
        <v>#REF!</v>
      </c>
    </row>
    <row r="1186" spans="1:16" ht="31.5" hidden="1" x14ac:dyDescent="0.25">
      <c r="A1186" s="49">
        <v>21</v>
      </c>
      <c r="B1186" s="49">
        <v>47</v>
      </c>
      <c r="C1186" s="50" t="s">
        <v>1744</v>
      </c>
      <c r="D1186" s="51" t="s">
        <v>945</v>
      </c>
      <c r="E1186" s="52" t="s">
        <v>946</v>
      </c>
      <c r="F1186" s="53"/>
      <c r="G1186" s="53">
        <v>10.882</v>
      </c>
      <c r="H1186" s="53">
        <v>8.0000000000000002E-3</v>
      </c>
      <c r="I1186" s="12">
        <f t="shared" si="366"/>
        <v>10.889999999999999</v>
      </c>
      <c r="J1186" s="52">
        <f>8142.006+2787.404</f>
        <v>10929.41</v>
      </c>
      <c r="K1186" s="52"/>
      <c r="L1186" s="52">
        <f t="shared" si="367"/>
        <v>10929.41</v>
      </c>
      <c r="M1186" s="52">
        <f t="shared" si="358"/>
        <v>1003.6189164370984</v>
      </c>
      <c r="N1186" s="12" t="e">
        <f t="shared" si="368"/>
        <v>#REF!</v>
      </c>
      <c r="O1186" s="12" t="e">
        <f t="shared" si="369"/>
        <v>#REF!</v>
      </c>
      <c r="P1186" s="12" t="e">
        <f t="shared" si="370"/>
        <v>#REF!</v>
      </c>
    </row>
    <row r="1187" spans="1:16" ht="18.75" hidden="1" x14ac:dyDescent="0.3">
      <c r="A1187" s="49">
        <v>21</v>
      </c>
      <c r="B1187" s="49">
        <v>48</v>
      </c>
      <c r="C1187" s="12" t="s">
        <v>1744</v>
      </c>
      <c r="D1187" s="61" t="s">
        <v>5</v>
      </c>
      <c r="E1187" s="63" t="s">
        <v>6</v>
      </c>
      <c r="F1187" s="53"/>
      <c r="G1187" s="53">
        <v>4.694</v>
      </c>
      <c r="H1187" s="53">
        <v>0</v>
      </c>
      <c r="I1187" s="12">
        <f t="shared" si="366"/>
        <v>4.694</v>
      </c>
      <c r="J1187" s="52">
        <v>1895.48</v>
      </c>
      <c r="K1187" s="52"/>
      <c r="L1187" s="52">
        <f>J1187+K1187</f>
        <v>1895.48</v>
      </c>
      <c r="M1187" s="52">
        <f>L1187/I1187</f>
        <v>403.80911802300812</v>
      </c>
      <c r="N1187" s="12" t="e">
        <f t="shared" si="368"/>
        <v>#REF!</v>
      </c>
      <c r="O1187" s="12" t="e">
        <f t="shared" si="369"/>
        <v>#REF!</v>
      </c>
      <c r="P1187" s="12" t="e">
        <f t="shared" si="370"/>
        <v>#REF!</v>
      </c>
    </row>
    <row r="1188" spans="1:16" ht="18.75" hidden="1" x14ac:dyDescent="0.3">
      <c r="A1188" s="49">
        <v>21</v>
      </c>
      <c r="B1188" s="49">
        <v>49</v>
      </c>
      <c r="C1188" s="12" t="s">
        <v>1744</v>
      </c>
      <c r="D1188" s="61" t="s">
        <v>7</v>
      </c>
      <c r="E1188" s="63" t="s">
        <v>8</v>
      </c>
      <c r="F1188" s="53"/>
      <c r="G1188" s="53">
        <v>3.3809999999999998</v>
      </c>
      <c r="H1188" s="53">
        <v>6.0000000000000001E-3</v>
      </c>
      <c r="I1188" s="12">
        <f t="shared" si="366"/>
        <v>3.3869999999999996</v>
      </c>
      <c r="J1188" s="52">
        <v>2401.1219999999998</v>
      </c>
      <c r="K1188" s="52"/>
      <c r="L1188" s="52">
        <f>J1188+K1188</f>
        <v>2401.1219999999998</v>
      </c>
      <c r="M1188" s="52">
        <f>L1188/I1188</f>
        <v>708.92294065544729</v>
      </c>
      <c r="N1188" s="12" t="e">
        <f t="shared" si="368"/>
        <v>#REF!</v>
      </c>
      <c r="O1188" s="12" t="e">
        <f t="shared" si="369"/>
        <v>#REF!</v>
      </c>
      <c r="P1188" s="12" t="e">
        <f t="shared" si="370"/>
        <v>#REF!</v>
      </c>
    </row>
    <row r="1189" spans="1:16" s="75" customFormat="1" ht="15.75" hidden="1" x14ac:dyDescent="0.25">
      <c r="A1189" s="72">
        <v>22</v>
      </c>
      <c r="B1189" s="72" t="s">
        <v>1126</v>
      </c>
      <c r="C1189" s="73" t="s">
        <v>1161</v>
      </c>
      <c r="D1189" s="74"/>
      <c r="E1189" s="71" t="s">
        <v>1672</v>
      </c>
      <c r="F1189" s="76"/>
      <c r="G1189" s="71">
        <f t="shared" ref="G1189:L1189" si="371">G1190+G1191+G1198+G1219</f>
        <v>1285.2669999999998</v>
      </c>
      <c r="H1189" s="71">
        <f t="shared" si="371"/>
        <v>6.9639999999999986</v>
      </c>
      <c r="I1189" s="71">
        <f t="shared" si="371"/>
        <v>1292.2309999999998</v>
      </c>
      <c r="J1189" s="71">
        <f t="shared" si="371"/>
        <v>1601981.976</v>
      </c>
      <c r="K1189" s="71">
        <f t="shared" si="371"/>
        <v>0</v>
      </c>
      <c r="L1189" s="71">
        <f t="shared" si="371"/>
        <v>1601981.976</v>
      </c>
      <c r="M1189" s="71">
        <f>L1189/I1189</f>
        <v>1239.7024804388691</v>
      </c>
      <c r="N1189" s="71" t="e">
        <f>M1189/$M$1429</f>
        <v>#REF!</v>
      </c>
      <c r="O1189" s="71" t="e">
        <f>O1190+O1191+O1198+O1219</f>
        <v>#REF!</v>
      </c>
      <c r="P1189" s="71" t="e">
        <f>P1190+P1191+P1198+P1219</f>
        <v>#REF!</v>
      </c>
    </row>
    <row r="1190" spans="1:16" ht="15.75" hidden="1" x14ac:dyDescent="0.25">
      <c r="A1190" s="14">
        <v>22</v>
      </c>
      <c r="B1190" s="14" t="s">
        <v>1126</v>
      </c>
      <c r="C1190" s="8" t="s">
        <v>1159</v>
      </c>
      <c r="D1190" s="28" t="s">
        <v>2480</v>
      </c>
      <c r="E1190" s="12" t="s">
        <v>1160</v>
      </c>
      <c r="F1190" s="1"/>
      <c r="G1190" s="1">
        <v>0</v>
      </c>
      <c r="H1190" s="1">
        <v>0</v>
      </c>
      <c r="I1190" s="12">
        <f>H1190+G1190</f>
        <v>0</v>
      </c>
      <c r="J1190" s="12"/>
      <c r="K1190" s="12"/>
      <c r="L1190" s="12"/>
      <c r="M1190" s="12"/>
      <c r="N1190" s="12"/>
      <c r="O1190" s="12"/>
      <c r="P1190" s="12"/>
    </row>
    <row r="1191" spans="1:16" ht="15.75" hidden="1" x14ac:dyDescent="0.25">
      <c r="A1191" s="15">
        <v>22</v>
      </c>
      <c r="B1191" s="15" t="s">
        <v>1126</v>
      </c>
      <c r="C1191" s="10" t="s">
        <v>1127</v>
      </c>
      <c r="D1191" s="29"/>
      <c r="E1191" s="37" t="s">
        <v>1128</v>
      </c>
      <c r="F1191" s="6"/>
      <c r="G1191" s="37">
        <f t="shared" ref="G1191:L1191" si="372">SUM(G1192:G1197)</f>
        <v>519.60699999999997</v>
      </c>
      <c r="H1191" s="37">
        <f>SUM(H1192:H1197)</f>
        <v>3.5009999999999999</v>
      </c>
      <c r="I1191" s="37">
        <f t="shared" si="372"/>
        <v>523.10799999999995</v>
      </c>
      <c r="J1191" s="37">
        <f t="shared" si="372"/>
        <v>886894.63800000004</v>
      </c>
      <c r="K1191" s="37">
        <f t="shared" si="372"/>
        <v>0</v>
      </c>
      <c r="L1191" s="37">
        <f t="shared" si="372"/>
        <v>886894.63800000004</v>
      </c>
      <c r="M1191" s="37">
        <f t="shared" ref="M1191:M1252" si="373">L1191/I1191</f>
        <v>1695.4331380900314</v>
      </c>
      <c r="N1191" s="37" t="e">
        <f>M1191/$M$1429</f>
        <v>#REF!</v>
      </c>
      <c r="O1191" s="37" t="e">
        <f>SUM(O1192:O1197)</f>
        <v>#REF!</v>
      </c>
      <c r="P1191" s="37" t="e">
        <f>SUM(P1192:P1197)</f>
        <v>#REF!</v>
      </c>
    </row>
    <row r="1192" spans="1:16" ht="15.75" hidden="1" x14ac:dyDescent="0.25">
      <c r="A1192" s="14">
        <v>22</v>
      </c>
      <c r="B1192" s="14" t="s">
        <v>1811</v>
      </c>
      <c r="C1192" s="8" t="s">
        <v>1119</v>
      </c>
      <c r="D1192" s="28" t="s">
        <v>2481</v>
      </c>
      <c r="E1192" s="12" t="s">
        <v>1647</v>
      </c>
      <c r="F1192" s="1"/>
      <c r="G1192" s="1">
        <v>268.52699999999999</v>
      </c>
      <c r="H1192" s="1">
        <v>1.9910000000000001</v>
      </c>
      <c r="I1192" s="12">
        <f t="shared" ref="I1192:I1197" si="374">H1192+G1192</f>
        <v>270.51799999999997</v>
      </c>
      <c r="J1192" s="12">
        <v>488181.13199999998</v>
      </c>
      <c r="K1192" s="12"/>
      <c r="L1192" s="12">
        <f t="shared" ref="L1192:L1197" si="375">J1192+K1192</f>
        <v>488181.13199999998</v>
      </c>
      <c r="M1192" s="12">
        <f t="shared" si="373"/>
        <v>1804.6160773035438</v>
      </c>
      <c r="N1192" s="12" t="e">
        <f t="shared" ref="N1192:N1197" si="376">M1192/$M$1431</f>
        <v>#REF!</v>
      </c>
      <c r="O1192" s="12" t="e">
        <f t="shared" ref="O1192:O1197" si="377">ROUND(IF(N1192&lt;110%,0,(M1192-$M$1431*1.1)*0.8)*I1192,1)</f>
        <v>#REF!</v>
      </c>
      <c r="P1192" s="12" t="e">
        <f t="shared" ref="P1192:P1197" si="378">ROUND(IF(N1192&gt;90%,0,(-M1192+$M$1431*0.9)*0.8)*I1192,1)</f>
        <v>#REF!</v>
      </c>
    </row>
    <row r="1193" spans="1:16" ht="15.75" hidden="1" x14ac:dyDescent="0.25">
      <c r="A1193" s="14">
        <v>22</v>
      </c>
      <c r="B1193" s="14" t="s">
        <v>1810</v>
      </c>
      <c r="C1193" s="8" t="s">
        <v>1119</v>
      </c>
      <c r="D1193" s="28" t="s">
        <v>2482</v>
      </c>
      <c r="E1193" s="12" t="s">
        <v>1648</v>
      </c>
      <c r="F1193" s="1"/>
      <c r="G1193" s="1">
        <v>100.462</v>
      </c>
      <c r="H1193" s="1">
        <v>0.80300000000000005</v>
      </c>
      <c r="I1193" s="12">
        <f t="shared" si="374"/>
        <v>101.265</v>
      </c>
      <c r="J1193" s="12">
        <v>120833.65</v>
      </c>
      <c r="K1193" s="12"/>
      <c r="L1193" s="12">
        <f t="shared" si="375"/>
        <v>120833.65</v>
      </c>
      <c r="M1193" s="12">
        <f t="shared" si="373"/>
        <v>1193.2419888411594</v>
      </c>
      <c r="N1193" s="12" t="e">
        <f t="shared" si="376"/>
        <v>#REF!</v>
      </c>
      <c r="O1193" s="12" t="e">
        <f t="shared" si="377"/>
        <v>#REF!</v>
      </c>
      <c r="P1193" s="12" t="e">
        <f t="shared" si="378"/>
        <v>#REF!</v>
      </c>
    </row>
    <row r="1194" spans="1:16" ht="15.75" hidden="1" x14ac:dyDescent="0.25">
      <c r="A1194" s="14">
        <v>22</v>
      </c>
      <c r="B1194" s="14" t="s">
        <v>1850</v>
      </c>
      <c r="C1194" s="8" t="s">
        <v>1119</v>
      </c>
      <c r="D1194" s="28" t="s">
        <v>2483</v>
      </c>
      <c r="E1194" s="12" t="s">
        <v>1649</v>
      </c>
      <c r="F1194" s="1"/>
      <c r="G1194" s="1">
        <v>37.006</v>
      </c>
      <c r="H1194" s="1">
        <v>0.16900000000000001</v>
      </c>
      <c r="I1194" s="12">
        <f t="shared" si="374"/>
        <v>37.174999999999997</v>
      </c>
      <c r="J1194" s="12">
        <v>111841.274</v>
      </c>
      <c r="K1194" s="12"/>
      <c r="L1194" s="12">
        <f t="shared" si="375"/>
        <v>111841.274</v>
      </c>
      <c r="M1194" s="12">
        <f t="shared" si="373"/>
        <v>3008.5077067921993</v>
      </c>
      <c r="N1194" s="12" t="e">
        <f t="shared" si="376"/>
        <v>#REF!</v>
      </c>
      <c r="O1194" s="12" t="e">
        <f t="shared" si="377"/>
        <v>#REF!</v>
      </c>
      <c r="P1194" s="12" t="e">
        <f t="shared" si="378"/>
        <v>#REF!</v>
      </c>
    </row>
    <row r="1195" spans="1:16" ht="15.75" hidden="1" x14ac:dyDescent="0.25">
      <c r="A1195" s="14">
        <v>22</v>
      </c>
      <c r="B1195" s="14" t="s">
        <v>1855</v>
      </c>
      <c r="C1195" s="8" t="s">
        <v>1119</v>
      </c>
      <c r="D1195" s="28" t="s">
        <v>2484</v>
      </c>
      <c r="E1195" s="12" t="s">
        <v>1650</v>
      </c>
      <c r="F1195" s="1"/>
      <c r="G1195" s="1">
        <v>35.953000000000003</v>
      </c>
      <c r="H1195" s="1">
        <v>0.14699999999999999</v>
      </c>
      <c r="I1195" s="12">
        <f t="shared" si="374"/>
        <v>36.1</v>
      </c>
      <c r="J1195" s="12">
        <v>41275.410000000003</v>
      </c>
      <c r="K1195" s="12"/>
      <c r="L1195" s="12">
        <f t="shared" si="375"/>
        <v>41275.410000000003</v>
      </c>
      <c r="M1195" s="12">
        <f t="shared" si="373"/>
        <v>1143.3631578947368</v>
      </c>
      <c r="N1195" s="12" t="e">
        <f t="shared" si="376"/>
        <v>#REF!</v>
      </c>
      <c r="O1195" s="12" t="e">
        <f t="shared" si="377"/>
        <v>#REF!</v>
      </c>
      <c r="P1195" s="12" t="e">
        <f t="shared" si="378"/>
        <v>#REF!</v>
      </c>
    </row>
    <row r="1196" spans="1:16" ht="15.75" hidden="1" x14ac:dyDescent="0.25">
      <c r="A1196" s="14">
        <v>22</v>
      </c>
      <c r="B1196" s="14" t="s">
        <v>1818</v>
      </c>
      <c r="C1196" s="8" t="s">
        <v>1119</v>
      </c>
      <c r="D1196" s="28" t="s">
        <v>2485</v>
      </c>
      <c r="E1196" s="12" t="s">
        <v>1651</v>
      </c>
      <c r="F1196" s="1"/>
      <c r="G1196" s="1">
        <v>35.165999999999997</v>
      </c>
      <c r="H1196" s="1">
        <v>0.17599999999999999</v>
      </c>
      <c r="I1196" s="12">
        <f t="shared" si="374"/>
        <v>35.341999999999999</v>
      </c>
      <c r="J1196" s="12">
        <v>58831.209000000003</v>
      </c>
      <c r="K1196" s="12"/>
      <c r="L1196" s="12">
        <f t="shared" si="375"/>
        <v>58831.209000000003</v>
      </c>
      <c r="M1196" s="12">
        <f t="shared" si="373"/>
        <v>1664.6259125120255</v>
      </c>
      <c r="N1196" s="12" t="e">
        <f t="shared" si="376"/>
        <v>#REF!</v>
      </c>
      <c r="O1196" s="12" t="e">
        <f t="shared" si="377"/>
        <v>#REF!</v>
      </c>
      <c r="P1196" s="12" t="e">
        <f t="shared" si="378"/>
        <v>#REF!</v>
      </c>
    </row>
    <row r="1197" spans="1:16" ht="15.75" hidden="1" x14ac:dyDescent="0.25">
      <c r="A1197" s="14">
        <v>22</v>
      </c>
      <c r="B1197" s="14" t="s">
        <v>1820</v>
      </c>
      <c r="C1197" s="8" t="s">
        <v>1119</v>
      </c>
      <c r="D1197" s="28" t="s">
        <v>2486</v>
      </c>
      <c r="E1197" s="12" t="s">
        <v>1652</v>
      </c>
      <c r="F1197" s="1"/>
      <c r="G1197" s="1">
        <v>42.493000000000002</v>
      </c>
      <c r="H1197" s="1">
        <v>0.215</v>
      </c>
      <c r="I1197" s="12">
        <f t="shared" si="374"/>
        <v>42.708000000000006</v>
      </c>
      <c r="J1197" s="12">
        <v>65931.963000000003</v>
      </c>
      <c r="K1197" s="12"/>
      <c r="L1197" s="12">
        <f t="shared" si="375"/>
        <v>65931.963000000003</v>
      </c>
      <c r="M1197" s="12">
        <f t="shared" si="373"/>
        <v>1543.7848412475414</v>
      </c>
      <c r="N1197" s="12" t="e">
        <f t="shared" si="376"/>
        <v>#REF!</v>
      </c>
      <c r="O1197" s="12" t="e">
        <f t="shared" si="377"/>
        <v>#REF!</v>
      </c>
      <c r="P1197" s="12" t="e">
        <f t="shared" si="378"/>
        <v>#REF!</v>
      </c>
    </row>
    <row r="1198" spans="1:16" ht="19.5" hidden="1" customHeight="1" x14ac:dyDescent="0.25">
      <c r="A1198" s="15">
        <v>22</v>
      </c>
      <c r="B1198" s="15" t="s">
        <v>1126</v>
      </c>
      <c r="C1198" s="10" t="s">
        <v>1157</v>
      </c>
      <c r="D1198" s="29"/>
      <c r="E1198" s="37" t="s">
        <v>1158</v>
      </c>
      <c r="F1198" s="6"/>
      <c r="G1198" s="37">
        <f t="shared" ref="G1198:L1198" si="379">SUM(G1199:G1218)</f>
        <v>314.94699999999995</v>
      </c>
      <c r="H1198" s="37">
        <f>SUM(H1199:H1218)</f>
        <v>1.506</v>
      </c>
      <c r="I1198" s="37">
        <f t="shared" si="379"/>
        <v>316.45299999999997</v>
      </c>
      <c r="J1198" s="37">
        <f t="shared" si="379"/>
        <v>278883.01999999996</v>
      </c>
      <c r="K1198" s="37">
        <f t="shared" si="379"/>
        <v>0</v>
      </c>
      <c r="L1198" s="37">
        <f t="shared" si="379"/>
        <v>278883.01999999996</v>
      </c>
      <c r="M1198" s="37">
        <f t="shared" si="373"/>
        <v>881.27785168729633</v>
      </c>
      <c r="N1198" s="37" t="e">
        <f>M1198/$M$1429</f>
        <v>#REF!</v>
      </c>
      <c r="O1198" s="37" t="e">
        <f>SUM(O1199:O1218)</f>
        <v>#REF!</v>
      </c>
      <c r="P1198" s="37" t="e">
        <f>SUM(P1199:P1218)</f>
        <v>#REF!</v>
      </c>
    </row>
    <row r="1199" spans="1:16" ht="15.75" hidden="1" x14ac:dyDescent="0.25">
      <c r="A1199" s="14">
        <v>22</v>
      </c>
      <c r="B1199" s="14" t="s">
        <v>1822</v>
      </c>
      <c r="C1199" s="8" t="s">
        <v>1129</v>
      </c>
      <c r="D1199" s="28" t="s">
        <v>2487</v>
      </c>
      <c r="E1199" s="12" t="s">
        <v>1653</v>
      </c>
      <c r="F1199" s="1"/>
      <c r="G1199" s="1">
        <v>26.693000000000001</v>
      </c>
      <c r="H1199" s="1">
        <v>9.5000000000000001E-2</v>
      </c>
      <c r="I1199" s="12">
        <f t="shared" ref="I1199:I1218" si="380">H1199+G1199</f>
        <v>26.788</v>
      </c>
      <c r="J1199" s="12">
        <v>23658.337</v>
      </c>
      <c r="K1199" s="12"/>
      <c r="L1199" s="12">
        <f t="shared" ref="L1199:L1207" si="381">J1199+K1199</f>
        <v>23658.337</v>
      </c>
      <c r="M1199" s="12">
        <f t="shared" si="373"/>
        <v>883.16921756010152</v>
      </c>
      <c r="N1199" s="12" t="e">
        <f t="shared" ref="N1199:N1218" si="382">M1199/$M$1432</f>
        <v>#REF!</v>
      </c>
      <c r="O1199" s="12" t="e">
        <f t="shared" ref="O1199:O1218" si="383">ROUND(IF(N1199&lt;110%,0,(M1199-$M$1432*1.1)*0.8)*I1199,1)</f>
        <v>#REF!</v>
      </c>
      <c r="P1199" s="12" t="e">
        <f t="shared" ref="P1199:P1218" si="384">ROUND(IF(N1199&gt;90%,0,(-M1199+$M$1432*0.9)*0.8)*I1199,1)</f>
        <v>#REF!</v>
      </c>
    </row>
    <row r="1200" spans="1:16" ht="15.75" hidden="1" x14ac:dyDescent="0.25">
      <c r="A1200" s="14">
        <v>22</v>
      </c>
      <c r="B1200" s="14" t="s">
        <v>1824</v>
      </c>
      <c r="C1200" s="8" t="s">
        <v>1129</v>
      </c>
      <c r="D1200" s="28" t="s">
        <v>2488</v>
      </c>
      <c r="E1200" s="12" t="s">
        <v>1654</v>
      </c>
      <c r="F1200" s="1"/>
      <c r="G1200" s="1">
        <v>24.05</v>
      </c>
      <c r="H1200" s="1">
        <v>6.2E-2</v>
      </c>
      <c r="I1200" s="12">
        <f t="shared" si="380"/>
        <v>24.112000000000002</v>
      </c>
      <c r="J1200" s="12">
        <v>20367.223999999998</v>
      </c>
      <c r="K1200" s="12"/>
      <c r="L1200" s="12">
        <f t="shared" si="381"/>
        <v>20367.223999999998</v>
      </c>
      <c r="M1200" s="12">
        <f t="shared" si="373"/>
        <v>844.69243530192421</v>
      </c>
      <c r="N1200" s="12" t="e">
        <f t="shared" si="382"/>
        <v>#REF!</v>
      </c>
      <c r="O1200" s="12" t="e">
        <f t="shared" si="383"/>
        <v>#REF!</v>
      </c>
      <c r="P1200" s="12" t="e">
        <f t="shared" si="384"/>
        <v>#REF!</v>
      </c>
    </row>
    <row r="1201" spans="1:16" ht="15.75" hidden="1" x14ac:dyDescent="0.25">
      <c r="A1201" s="14">
        <v>22</v>
      </c>
      <c r="B1201" s="14" t="s">
        <v>1826</v>
      </c>
      <c r="C1201" s="8" t="s">
        <v>1129</v>
      </c>
      <c r="D1201" s="28" t="s">
        <v>2489</v>
      </c>
      <c r="E1201" s="12" t="s">
        <v>1655</v>
      </c>
      <c r="F1201" s="1"/>
      <c r="G1201" s="1">
        <v>4.51</v>
      </c>
      <c r="H1201" s="1">
        <v>1.4E-2</v>
      </c>
      <c r="I1201" s="12">
        <f t="shared" si="380"/>
        <v>4.524</v>
      </c>
      <c r="J1201" s="12">
        <v>5524.47</v>
      </c>
      <c r="K1201" s="12"/>
      <c r="L1201" s="12">
        <f t="shared" si="381"/>
        <v>5524.47</v>
      </c>
      <c r="M1201" s="12">
        <f t="shared" si="373"/>
        <v>1221.1472148541116</v>
      </c>
      <c r="N1201" s="12" t="e">
        <f t="shared" si="382"/>
        <v>#REF!</v>
      </c>
      <c r="O1201" s="12" t="e">
        <f t="shared" si="383"/>
        <v>#REF!</v>
      </c>
      <c r="P1201" s="12" t="e">
        <f t="shared" si="384"/>
        <v>#REF!</v>
      </c>
    </row>
    <row r="1202" spans="1:16" ht="15.75" hidden="1" x14ac:dyDescent="0.25">
      <c r="A1202" s="14">
        <v>22</v>
      </c>
      <c r="B1202" s="14">
        <v>10</v>
      </c>
      <c r="C1202" s="8" t="s">
        <v>1129</v>
      </c>
      <c r="D1202" s="28" t="s">
        <v>2490</v>
      </c>
      <c r="E1202" s="12" t="s">
        <v>1435</v>
      </c>
      <c r="F1202" s="1"/>
      <c r="G1202" s="1">
        <v>7.6379999999999999</v>
      </c>
      <c r="H1202" s="1">
        <v>1.7000000000000001E-2</v>
      </c>
      <c r="I1202" s="12">
        <f t="shared" si="380"/>
        <v>7.6550000000000002</v>
      </c>
      <c r="J1202" s="12">
        <f>34272.91-26410.41</f>
        <v>7862.5000000000036</v>
      </c>
      <c r="K1202" s="12"/>
      <c r="L1202" s="12">
        <f t="shared" si="381"/>
        <v>7862.5000000000036</v>
      </c>
      <c r="M1202" s="12">
        <f t="shared" si="373"/>
        <v>1027.1064663618554</v>
      </c>
      <c r="N1202" s="12" t="e">
        <f t="shared" si="382"/>
        <v>#REF!</v>
      </c>
      <c r="O1202" s="12" t="e">
        <f t="shared" si="383"/>
        <v>#REF!</v>
      </c>
      <c r="P1202" s="12" t="e">
        <f t="shared" si="384"/>
        <v>#REF!</v>
      </c>
    </row>
    <row r="1203" spans="1:16" ht="15.75" hidden="1" x14ac:dyDescent="0.25">
      <c r="A1203" s="14">
        <v>22</v>
      </c>
      <c r="B1203" s="14">
        <v>11</v>
      </c>
      <c r="C1203" s="8" t="s">
        <v>1129</v>
      </c>
      <c r="D1203" s="28" t="s">
        <v>2491</v>
      </c>
      <c r="E1203" s="12" t="s">
        <v>1656</v>
      </c>
      <c r="F1203" s="1"/>
      <c r="G1203" s="1">
        <v>27.686</v>
      </c>
      <c r="H1203" s="1">
        <v>9.5000000000000001E-2</v>
      </c>
      <c r="I1203" s="12">
        <f t="shared" si="380"/>
        <v>27.780999999999999</v>
      </c>
      <c r="J1203" s="12">
        <f>24074.364-2275.272</f>
        <v>21799.092000000001</v>
      </c>
      <c r="K1203" s="12"/>
      <c r="L1203" s="12">
        <f t="shared" si="381"/>
        <v>21799.092000000001</v>
      </c>
      <c r="M1203" s="12">
        <f t="shared" si="373"/>
        <v>784.67628955041221</v>
      </c>
      <c r="N1203" s="12" t="e">
        <f t="shared" si="382"/>
        <v>#REF!</v>
      </c>
      <c r="O1203" s="12" t="e">
        <f t="shared" si="383"/>
        <v>#REF!</v>
      </c>
      <c r="P1203" s="12" t="e">
        <f t="shared" si="384"/>
        <v>#REF!</v>
      </c>
    </row>
    <row r="1204" spans="1:16" ht="15.75" hidden="1" x14ac:dyDescent="0.25">
      <c r="A1204" s="14">
        <v>22</v>
      </c>
      <c r="B1204" s="14">
        <v>12</v>
      </c>
      <c r="C1204" s="8" t="s">
        <v>1129</v>
      </c>
      <c r="D1204" s="28" t="s">
        <v>2492</v>
      </c>
      <c r="E1204" s="47" t="s">
        <v>1657</v>
      </c>
      <c r="F1204" s="48"/>
      <c r="G1204" s="48">
        <v>0</v>
      </c>
      <c r="H1204" s="48">
        <v>0</v>
      </c>
      <c r="I1204" s="12">
        <f t="shared" si="380"/>
        <v>0</v>
      </c>
      <c r="J1204" s="47">
        <f>5011.598-5011.598</f>
        <v>0</v>
      </c>
      <c r="K1204" s="47"/>
      <c r="L1204" s="47">
        <f t="shared" si="381"/>
        <v>0</v>
      </c>
      <c r="M1204" s="12"/>
      <c r="N1204" s="12"/>
      <c r="O1204" s="12"/>
      <c r="P1204" s="12"/>
    </row>
    <row r="1205" spans="1:16" ht="15.75" hidden="1" x14ac:dyDescent="0.25">
      <c r="A1205" s="14">
        <v>22</v>
      </c>
      <c r="B1205" s="14">
        <v>13</v>
      </c>
      <c r="C1205" s="8" t="s">
        <v>1129</v>
      </c>
      <c r="D1205" s="28" t="s">
        <v>2493</v>
      </c>
      <c r="E1205" s="12" t="s">
        <v>1658</v>
      </c>
      <c r="F1205" s="1"/>
      <c r="G1205" s="1">
        <v>43.978999999999999</v>
      </c>
      <c r="H1205" s="1">
        <v>0.23100000000000001</v>
      </c>
      <c r="I1205" s="12">
        <f t="shared" si="380"/>
        <v>44.21</v>
      </c>
      <c r="J1205" s="12">
        <v>40182.529000000002</v>
      </c>
      <c r="K1205" s="12"/>
      <c r="L1205" s="12">
        <f t="shared" si="381"/>
        <v>40182.529000000002</v>
      </c>
      <c r="M1205" s="12">
        <f t="shared" si="373"/>
        <v>908.90135715901386</v>
      </c>
      <c r="N1205" s="12" t="e">
        <f t="shared" si="382"/>
        <v>#REF!</v>
      </c>
      <c r="O1205" s="12" t="e">
        <f t="shared" si="383"/>
        <v>#REF!</v>
      </c>
      <c r="P1205" s="12" t="e">
        <f t="shared" si="384"/>
        <v>#REF!</v>
      </c>
    </row>
    <row r="1206" spans="1:16" ht="15.75" hidden="1" x14ac:dyDescent="0.25">
      <c r="A1206" s="14">
        <v>22</v>
      </c>
      <c r="B1206" s="14">
        <v>14</v>
      </c>
      <c r="C1206" s="8" t="s">
        <v>1129</v>
      </c>
      <c r="D1206" s="28" t="s">
        <v>2494</v>
      </c>
      <c r="E1206" s="12" t="s">
        <v>1659</v>
      </c>
      <c r="F1206" s="1"/>
      <c r="G1206" s="1">
        <v>25.52</v>
      </c>
      <c r="H1206" s="1">
        <v>9.0999999999999998E-2</v>
      </c>
      <c r="I1206" s="12">
        <f t="shared" si="380"/>
        <v>25.611000000000001</v>
      </c>
      <c r="J1206" s="12">
        <f>29732.252-6402.556-4810.605-2281.09</f>
        <v>16238.001</v>
      </c>
      <c r="K1206" s="12"/>
      <c r="L1206" s="12">
        <f t="shared" si="381"/>
        <v>16238.001</v>
      </c>
      <c r="M1206" s="12">
        <f t="shared" si="373"/>
        <v>634.02448166803322</v>
      </c>
      <c r="N1206" s="12" t="e">
        <f t="shared" si="382"/>
        <v>#REF!</v>
      </c>
      <c r="O1206" s="12" t="e">
        <f t="shared" si="383"/>
        <v>#REF!</v>
      </c>
      <c r="P1206" s="12" t="e">
        <f t="shared" si="384"/>
        <v>#REF!</v>
      </c>
    </row>
    <row r="1207" spans="1:16" ht="15.75" hidden="1" x14ac:dyDescent="0.25">
      <c r="A1207" s="14">
        <v>22</v>
      </c>
      <c r="B1207" s="14">
        <v>15</v>
      </c>
      <c r="C1207" s="8" t="s">
        <v>1129</v>
      </c>
      <c r="D1207" s="28" t="s">
        <v>2495</v>
      </c>
      <c r="E1207" s="12" t="s">
        <v>1660</v>
      </c>
      <c r="F1207" s="1"/>
      <c r="G1207" s="1">
        <v>21.498999999999999</v>
      </c>
      <c r="H1207" s="1">
        <v>8.3000000000000004E-2</v>
      </c>
      <c r="I1207" s="12">
        <f t="shared" si="380"/>
        <v>21.581999999999997</v>
      </c>
      <c r="J1207" s="12">
        <f>61387.736-4450.836-39175.279</f>
        <v>17761.620999999992</v>
      </c>
      <c r="K1207" s="12"/>
      <c r="L1207" s="12">
        <f t="shared" si="381"/>
        <v>17761.620999999992</v>
      </c>
      <c r="M1207" s="12">
        <f t="shared" si="373"/>
        <v>822.98308775831686</v>
      </c>
      <c r="N1207" s="12" t="e">
        <f t="shared" si="382"/>
        <v>#REF!</v>
      </c>
      <c r="O1207" s="12" t="e">
        <f t="shared" si="383"/>
        <v>#REF!</v>
      </c>
      <c r="P1207" s="12" t="e">
        <f t="shared" si="384"/>
        <v>#REF!</v>
      </c>
    </row>
    <row r="1208" spans="1:16" ht="15.75" hidden="1" x14ac:dyDescent="0.25">
      <c r="A1208" s="16">
        <v>22</v>
      </c>
      <c r="B1208" s="16">
        <v>16</v>
      </c>
      <c r="C1208" s="11" t="s">
        <v>1129</v>
      </c>
      <c r="D1208" s="32" t="s">
        <v>2496</v>
      </c>
      <c r="E1208" s="47" t="s">
        <v>1661</v>
      </c>
      <c r="F1208" s="48"/>
      <c r="G1208" s="48">
        <v>0</v>
      </c>
      <c r="H1208" s="48">
        <v>0</v>
      </c>
      <c r="I1208" s="12">
        <f t="shared" si="380"/>
        <v>0</v>
      </c>
      <c r="J1208" s="47">
        <f>-67.439+67.439</f>
        <v>0</v>
      </c>
      <c r="K1208" s="47"/>
      <c r="L1208" s="47"/>
      <c r="M1208" s="47"/>
      <c r="N1208" s="12"/>
      <c r="O1208" s="12"/>
      <c r="P1208" s="12"/>
    </row>
    <row r="1209" spans="1:16" ht="15.75" hidden="1" x14ac:dyDescent="0.25">
      <c r="A1209" s="14">
        <v>22</v>
      </c>
      <c r="B1209" s="14">
        <v>17</v>
      </c>
      <c r="C1209" s="8" t="s">
        <v>1129</v>
      </c>
      <c r="D1209" s="28" t="s">
        <v>2497</v>
      </c>
      <c r="E1209" s="12" t="s">
        <v>1662</v>
      </c>
      <c r="F1209" s="1"/>
      <c r="G1209" s="1">
        <v>2.6139999999999999</v>
      </c>
      <c r="H1209" s="1">
        <v>0.01</v>
      </c>
      <c r="I1209" s="12">
        <f t="shared" si="380"/>
        <v>2.6239999999999997</v>
      </c>
      <c r="J1209" s="12">
        <v>1326.846</v>
      </c>
      <c r="K1209" s="12"/>
      <c r="L1209" s="12">
        <f>J1209+K1209</f>
        <v>1326.846</v>
      </c>
      <c r="M1209" s="12">
        <f t="shared" si="373"/>
        <v>505.65777439024396</v>
      </c>
      <c r="N1209" s="12" t="e">
        <f t="shared" si="382"/>
        <v>#REF!</v>
      </c>
      <c r="O1209" s="12" t="e">
        <f t="shared" si="383"/>
        <v>#REF!</v>
      </c>
      <c r="P1209" s="12" t="e">
        <f t="shared" si="384"/>
        <v>#REF!</v>
      </c>
    </row>
    <row r="1210" spans="1:16" ht="15.75" hidden="1" x14ac:dyDescent="0.25">
      <c r="A1210" s="14">
        <v>22</v>
      </c>
      <c r="B1210" s="14">
        <v>18</v>
      </c>
      <c r="C1210" s="8" t="s">
        <v>1129</v>
      </c>
      <c r="D1210" s="28" t="s">
        <v>2498</v>
      </c>
      <c r="E1210" s="12" t="s">
        <v>1663</v>
      </c>
      <c r="F1210" s="1"/>
      <c r="G1210" s="1">
        <v>1.863</v>
      </c>
      <c r="H1210" s="1">
        <v>0.23100000000000001</v>
      </c>
      <c r="I1210" s="12">
        <f t="shared" si="380"/>
        <v>2.0939999999999999</v>
      </c>
      <c r="J1210" s="12">
        <f>1876.062-839.317</f>
        <v>1036.7449999999999</v>
      </c>
      <c r="K1210" s="12"/>
      <c r="L1210" s="12">
        <f>J1210+K1210</f>
        <v>1036.7449999999999</v>
      </c>
      <c r="M1210" s="12">
        <f t="shared" si="373"/>
        <v>495.10267430754533</v>
      </c>
      <c r="N1210" s="12" t="e">
        <f t="shared" si="382"/>
        <v>#REF!</v>
      </c>
      <c r="O1210" s="12" t="e">
        <f t="shared" si="383"/>
        <v>#REF!</v>
      </c>
      <c r="P1210" s="12" t="e">
        <f t="shared" si="384"/>
        <v>#REF!</v>
      </c>
    </row>
    <row r="1211" spans="1:16" ht="15.75" hidden="1" x14ac:dyDescent="0.25">
      <c r="A1211" s="14">
        <v>22</v>
      </c>
      <c r="B1211" s="14">
        <v>19</v>
      </c>
      <c r="C1211" s="8" t="s">
        <v>1129</v>
      </c>
      <c r="D1211" s="28" t="s">
        <v>2499</v>
      </c>
      <c r="E1211" s="12" t="s">
        <v>1664</v>
      </c>
      <c r="F1211" s="1"/>
      <c r="G1211" s="1">
        <v>11.53</v>
      </c>
      <c r="H1211" s="1">
        <v>8.2000000000000003E-2</v>
      </c>
      <c r="I1211" s="12">
        <f t="shared" si="380"/>
        <v>11.612</v>
      </c>
      <c r="J1211" s="12">
        <f>16378.62-8759.836</f>
        <v>7618.7840000000015</v>
      </c>
      <c r="K1211" s="12"/>
      <c r="L1211" s="12">
        <f>J1211+K1211</f>
        <v>7618.7840000000015</v>
      </c>
      <c r="M1211" s="12">
        <f t="shared" si="373"/>
        <v>656.1129865656219</v>
      </c>
      <c r="N1211" s="12" t="e">
        <f t="shared" si="382"/>
        <v>#REF!</v>
      </c>
      <c r="O1211" s="12" t="e">
        <f t="shared" si="383"/>
        <v>#REF!</v>
      </c>
      <c r="P1211" s="12" t="e">
        <f t="shared" si="384"/>
        <v>#REF!</v>
      </c>
    </row>
    <row r="1212" spans="1:16" ht="15.75" hidden="1" x14ac:dyDescent="0.25">
      <c r="A1212" s="14">
        <v>22</v>
      </c>
      <c r="B1212" s="14">
        <v>20</v>
      </c>
      <c r="C1212" s="8" t="s">
        <v>1129</v>
      </c>
      <c r="D1212" s="28" t="s">
        <v>2500</v>
      </c>
      <c r="E1212" s="12" t="s">
        <v>1665</v>
      </c>
      <c r="F1212" s="1"/>
      <c r="G1212" s="1">
        <v>28.603000000000002</v>
      </c>
      <c r="H1212" s="1">
        <v>0.17299999999999999</v>
      </c>
      <c r="I1212" s="12">
        <f t="shared" si="380"/>
        <v>28.776</v>
      </c>
      <c r="J1212" s="12">
        <v>29778.977999999999</v>
      </c>
      <c r="K1212" s="12"/>
      <c r="L1212" s="12">
        <f>J1212+K1212</f>
        <v>29778.977999999999</v>
      </c>
      <c r="M1212" s="12">
        <f t="shared" si="373"/>
        <v>1034.8546705587989</v>
      </c>
      <c r="N1212" s="12" t="e">
        <f t="shared" si="382"/>
        <v>#REF!</v>
      </c>
      <c r="O1212" s="12" t="e">
        <f t="shared" si="383"/>
        <v>#REF!</v>
      </c>
      <c r="P1212" s="12" t="e">
        <f t="shared" si="384"/>
        <v>#REF!</v>
      </c>
    </row>
    <row r="1213" spans="1:16" ht="15.75" hidden="1" x14ac:dyDescent="0.25">
      <c r="A1213" s="16">
        <v>22</v>
      </c>
      <c r="B1213" s="16">
        <v>21</v>
      </c>
      <c r="C1213" s="11" t="s">
        <v>1129</v>
      </c>
      <c r="D1213" s="32" t="s">
        <v>2501</v>
      </c>
      <c r="E1213" s="47" t="s">
        <v>1666</v>
      </c>
      <c r="F1213" s="48"/>
      <c r="G1213" s="48">
        <v>0</v>
      </c>
      <c r="H1213" s="48">
        <v>0</v>
      </c>
      <c r="I1213" s="12">
        <f t="shared" si="380"/>
        <v>0</v>
      </c>
      <c r="J1213" s="47">
        <f>-41.634+41.634</f>
        <v>0</v>
      </c>
      <c r="K1213" s="47"/>
      <c r="L1213" s="47"/>
      <c r="M1213" s="47"/>
      <c r="N1213" s="12"/>
      <c r="O1213" s="12"/>
      <c r="P1213" s="12"/>
    </row>
    <row r="1214" spans="1:16" ht="15.75" hidden="1" x14ac:dyDescent="0.25">
      <c r="A1214" s="14">
        <v>22</v>
      </c>
      <c r="B1214" s="14">
        <v>22</v>
      </c>
      <c r="C1214" s="8" t="s">
        <v>1129</v>
      </c>
      <c r="D1214" s="28" t="s">
        <v>2502</v>
      </c>
      <c r="E1214" s="12" t="s">
        <v>1667</v>
      </c>
      <c r="F1214" s="1"/>
      <c r="G1214" s="1">
        <v>26.76</v>
      </c>
      <c r="H1214" s="1">
        <v>0.14299999999999999</v>
      </c>
      <c r="I1214" s="12">
        <f t="shared" si="380"/>
        <v>26.903000000000002</v>
      </c>
      <c r="J1214" s="12">
        <v>28354.491000000002</v>
      </c>
      <c r="K1214" s="12"/>
      <c r="L1214" s="12">
        <f>J1214+K1214</f>
        <v>28354.491000000002</v>
      </c>
      <c r="M1214" s="12">
        <f t="shared" si="373"/>
        <v>1053.9527561981936</v>
      </c>
      <c r="N1214" s="12" t="e">
        <f t="shared" si="382"/>
        <v>#REF!</v>
      </c>
      <c r="O1214" s="12" t="e">
        <f t="shared" si="383"/>
        <v>#REF!</v>
      </c>
      <c r="P1214" s="12" t="e">
        <f t="shared" si="384"/>
        <v>#REF!</v>
      </c>
    </row>
    <row r="1215" spans="1:16" ht="15.75" hidden="1" x14ac:dyDescent="0.25">
      <c r="A1215" s="14">
        <v>22</v>
      </c>
      <c r="B1215" s="14">
        <v>23</v>
      </c>
      <c r="C1215" s="8" t="s">
        <v>1129</v>
      </c>
      <c r="D1215" s="28" t="s">
        <v>2503</v>
      </c>
      <c r="E1215" s="12" t="s">
        <v>1668</v>
      </c>
      <c r="F1215" s="1"/>
      <c r="G1215" s="1">
        <v>15.986000000000001</v>
      </c>
      <c r="H1215" s="1">
        <v>2.5999999999999999E-2</v>
      </c>
      <c r="I1215" s="12">
        <f t="shared" si="380"/>
        <v>16.012</v>
      </c>
      <c r="J1215" s="12">
        <f>18456.31-3132.832</f>
        <v>15323.478000000001</v>
      </c>
      <c r="K1215" s="12"/>
      <c r="L1215" s="12">
        <f>J1215+K1215</f>
        <v>15323.478000000001</v>
      </c>
      <c r="M1215" s="12">
        <f t="shared" si="373"/>
        <v>956.99962528103924</v>
      </c>
      <c r="N1215" s="12" t="e">
        <f t="shared" si="382"/>
        <v>#REF!</v>
      </c>
      <c r="O1215" s="12" t="e">
        <f t="shared" si="383"/>
        <v>#REF!</v>
      </c>
      <c r="P1215" s="12" t="e">
        <f t="shared" si="384"/>
        <v>#REF!</v>
      </c>
    </row>
    <row r="1216" spans="1:16" ht="15.75" hidden="1" x14ac:dyDescent="0.25">
      <c r="A1216" s="14">
        <v>22</v>
      </c>
      <c r="B1216" s="14">
        <v>24</v>
      </c>
      <c r="C1216" s="8" t="s">
        <v>1129</v>
      </c>
      <c r="D1216" s="28" t="s">
        <v>2504</v>
      </c>
      <c r="E1216" s="12" t="s">
        <v>1669</v>
      </c>
      <c r="F1216" s="1"/>
      <c r="G1216" s="1">
        <v>15.065</v>
      </c>
      <c r="H1216" s="1">
        <v>4.8000000000000001E-2</v>
      </c>
      <c r="I1216" s="12">
        <f t="shared" si="380"/>
        <v>15.113</v>
      </c>
      <c r="J1216" s="12">
        <v>11431.811</v>
      </c>
      <c r="K1216" s="12"/>
      <c r="L1216" s="12">
        <f>J1216+K1216</f>
        <v>11431.811</v>
      </c>
      <c r="M1216" s="12">
        <f t="shared" si="373"/>
        <v>756.42235161781252</v>
      </c>
      <c r="N1216" s="12" t="e">
        <f t="shared" si="382"/>
        <v>#REF!</v>
      </c>
      <c r="O1216" s="12" t="e">
        <f t="shared" si="383"/>
        <v>#REF!</v>
      </c>
      <c r="P1216" s="12" t="e">
        <f t="shared" si="384"/>
        <v>#REF!</v>
      </c>
    </row>
    <row r="1217" spans="1:16" ht="15.75" hidden="1" x14ac:dyDescent="0.25">
      <c r="A1217" s="14">
        <v>22</v>
      </c>
      <c r="B1217" s="14">
        <v>25</v>
      </c>
      <c r="C1217" s="8" t="s">
        <v>1129</v>
      </c>
      <c r="D1217" s="28" t="s">
        <v>2505</v>
      </c>
      <c r="E1217" s="12" t="s">
        <v>1670</v>
      </c>
      <c r="F1217" s="1"/>
      <c r="G1217" s="1">
        <v>7.4909999999999997</v>
      </c>
      <c r="H1217" s="1">
        <v>1.4E-2</v>
      </c>
      <c r="I1217" s="12">
        <f t="shared" si="380"/>
        <v>7.5049999999999999</v>
      </c>
      <c r="J1217" s="12">
        <f>10309.489-6624.567</f>
        <v>3684.9219999999996</v>
      </c>
      <c r="K1217" s="12"/>
      <c r="L1217" s="12">
        <f>J1217+K1217</f>
        <v>3684.9219999999996</v>
      </c>
      <c r="M1217" s="12">
        <f t="shared" si="373"/>
        <v>490.99560293137904</v>
      </c>
      <c r="N1217" s="12" t="e">
        <f t="shared" si="382"/>
        <v>#REF!</v>
      </c>
      <c r="O1217" s="12" t="e">
        <f t="shared" si="383"/>
        <v>#REF!</v>
      </c>
      <c r="P1217" s="12" t="e">
        <f t="shared" si="384"/>
        <v>#REF!</v>
      </c>
    </row>
    <row r="1218" spans="1:16" ht="15.75" hidden="1" x14ac:dyDescent="0.25">
      <c r="A1218" s="14">
        <v>22</v>
      </c>
      <c r="B1218" s="14">
        <v>26</v>
      </c>
      <c r="C1218" s="8" t="s">
        <v>1129</v>
      </c>
      <c r="D1218" s="28" t="s">
        <v>2506</v>
      </c>
      <c r="E1218" s="12" t="s">
        <v>1671</v>
      </c>
      <c r="F1218" s="1"/>
      <c r="G1218" s="1">
        <v>23.46</v>
      </c>
      <c r="H1218" s="1">
        <v>9.0999999999999998E-2</v>
      </c>
      <c r="I1218" s="12">
        <f t="shared" si="380"/>
        <v>23.551000000000002</v>
      </c>
      <c r="J1218" s="12">
        <f>33751.181-5279.414-1538.576</f>
        <v>26933.190999999995</v>
      </c>
      <c r="K1218" s="12"/>
      <c r="L1218" s="12">
        <f>J1218+K1218</f>
        <v>26933.190999999995</v>
      </c>
      <c r="M1218" s="12">
        <f t="shared" si="373"/>
        <v>1143.6113540826288</v>
      </c>
      <c r="N1218" s="12" t="e">
        <f t="shared" si="382"/>
        <v>#REF!</v>
      </c>
      <c r="O1218" s="12" t="e">
        <f t="shared" si="383"/>
        <v>#REF!</v>
      </c>
      <c r="P1218" s="12" t="e">
        <f t="shared" si="384"/>
        <v>#REF!</v>
      </c>
    </row>
    <row r="1219" spans="1:16" ht="15.75" hidden="1" x14ac:dyDescent="0.25">
      <c r="A1219" s="15">
        <v>22</v>
      </c>
      <c r="B1219" s="15" t="s">
        <v>1126</v>
      </c>
      <c r="C1219" s="10" t="s">
        <v>1743</v>
      </c>
      <c r="D1219" s="29"/>
      <c r="E1219" s="37" t="s">
        <v>1747</v>
      </c>
      <c r="F1219" s="6"/>
      <c r="G1219" s="37">
        <f t="shared" ref="G1219:L1219" si="385">SUM(G1220:G1258)</f>
        <v>450.71300000000002</v>
      </c>
      <c r="H1219" s="37">
        <f>SUM(H1220:H1258)</f>
        <v>1.9569999999999992</v>
      </c>
      <c r="I1219" s="37">
        <f t="shared" si="385"/>
        <v>452.66999999999985</v>
      </c>
      <c r="J1219" s="37">
        <f t="shared" si="385"/>
        <v>436204.31800000003</v>
      </c>
      <c r="K1219" s="37">
        <f t="shared" si="385"/>
        <v>0</v>
      </c>
      <c r="L1219" s="37">
        <f t="shared" si="385"/>
        <v>436204.31800000003</v>
      </c>
      <c r="M1219" s="37">
        <f t="shared" si="373"/>
        <v>963.6254180749778</v>
      </c>
      <c r="N1219" s="37" t="e">
        <f>M1219/$M$1429</f>
        <v>#REF!</v>
      </c>
      <c r="O1219" s="37" t="e">
        <f>SUM(O1220:O1258)</f>
        <v>#REF!</v>
      </c>
      <c r="P1219" s="37" t="e">
        <f>SUM(P1220:P1258)</f>
        <v>#REF!</v>
      </c>
    </row>
    <row r="1220" spans="1:16" ht="15.75" hidden="1" x14ac:dyDescent="0.25">
      <c r="A1220" s="14">
        <v>22</v>
      </c>
      <c r="B1220" s="14">
        <v>27</v>
      </c>
      <c r="C1220" s="8" t="s">
        <v>1744</v>
      </c>
      <c r="D1220" s="28" t="s">
        <v>2507</v>
      </c>
      <c r="E1220" s="12" t="s">
        <v>1790</v>
      </c>
      <c r="F1220" s="1"/>
      <c r="G1220" s="1">
        <v>8.7739999999999991</v>
      </c>
      <c r="H1220" s="1">
        <v>3.2000000000000001E-2</v>
      </c>
      <c r="I1220" s="12">
        <f t="shared" ref="I1220:I1258" si="386">H1220+G1220</f>
        <v>8.8059999999999992</v>
      </c>
      <c r="J1220" s="12">
        <v>5997.8130000000001</v>
      </c>
      <c r="K1220" s="12"/>
      <c r="L1220" s="12">
        <f t="shared" ref="L1220:L1252" si="387">J1220+K1220</f>
        <v>5997.8130000000001</v>
      </c>
      <c r="M1220" s="12">
        <f t="shared" si="373"/>
        <v>681.10526913468095</v>
      </c>
      <c r="N1220" s="12" t="e">
        <f t="shared" ref="N1220:N1258" si="388">M1220/$M$1433</f>
        <v>#REF!</v>
      </c>
      <c r="O1220" s="12" t="e">
        <f t="shared" ref="O1220:O1258" si="389">ROUND(IF(N1220&lt;110%,0,(M1220-$M$1433*1.1)*0.8)*I1220,1)</f>
        <v>#REF!</v>
      </c>
      <c r="P1220" s="12" t="e">
        <f t="shared" ref="P1220:P1258" si="390">ROUND(IF(N1220&gt;90%,0,(-M1220+$M$1433*0.9)*0.8)*I1220,1)</f>
        <v>#REF!</v>
      </c>
    </row>
    <row r="1221" spans="1:16" ht="15.75" hidden="1" x14ac:dyDescent="0.25">
      <c r="A1221" s="14">
        <v>22</v>
      </c>
      <c r="B1221" s="14">
        <v>28</v>
      </c>
      <c r="C1221" s="8" t="s">
        <v>1744</v>
      </c>
      <c r="D1221" s="28" t="s">
        <v>2508</v>
      </c>
      <c r="E1221" s="12" t="s">
        <v>2686</v>
      </c>
      <c r="F1221" s="1"/>
      <c r="G1221" s="1">
        <v>7.6550000000000002</v>
      </c>
      <c r="H1221" s="1">
        <v>3.6999999999999998E-2</v>
      </c>
      <c r="I1221" s="12">
        <f t="shared" si="386"/>
        <v>7.6920000000000002</v>
      </c>
      <c r="J1221" s="12">
        <v>5644.7449999999999</v>
      </c>
      <c r="K1221" s="12"/>
      <c r="L1221" s="12">
        <f t="shared" si="387"/>
        <v>5644.7449999999999</v>
      </c>
      <c r="M1221" s="12">
        <f t="shared" si="373"/>
        <v>733.84620384815389</v>
      </c>
      <c r="N1221" s="12" t="e">
        <f t="shared" si="388"/>
        <v>#REF!</v>
      </c>
      <c r="O1221" s="12" t="e">
        <f t="shared" si="389"/>
        <v>#REF!</v>
      </c>
      <c r="P1221" s="12" t="e">
        <f t="shared" si="390"/>
        <v>#REF!</v>
      </c>
    </row>
    <row r="1222" spans="1:16" ht="15.75" hidden="1" x14ac:dyDescent="0.25">
      <c r="A1222" s="14">
        <v>22</v>
      </c>
      <c r="B1222" s="14">
        <v>29</v>
      </c>
      <c r="C1222" s="8" t="s">
        <v>1744</v>
      </c>
      <c r="D1222" s="28" t="s">
        <v>2509</v>
      </c>
      <c r="E1222" s="12" t="s">
        <v>1791</v>
      </c>
      <c r="F1222" s="1"/>
      <c r="G1222" s="1">
        <v>32.494</v>
      </c>
      <c r="H1222" s="1">
        <v>0.187</v>
      </c>
      <c r="I1222" s="12">
        <f t="shared" si="386"/>
        <v>32.680999999999997</v>
      </c>
      <c r="J1222" s="12">
        <v>45151.027999999998</v>
      </c>
      <c r="K1222" s="12"/>
      <c r="L1222" s="12">
        <f t="shared" si="387"/>
        <v>45151.027999999998</v>
      </c>
      <c r="M1222" s="12">
        <f t="shared" si="373"/>
        <v>1381.5681282702487</v>
      </c>
      <c r="N1222" s="12" t="e">
        <f t="shared" si="388"/>
        <v>#REF!</v>
      </c>
      <c r="O1222" s="12" t="e">
        <f t="shared" si="389"/>
        <v>#REF!</v>
      </c>
      <c r="P1222" s="12" t="e">
        <f t="shared" si="390"/>
        <v>#REF!</v>
      </c>
    </row>
    <row r="1223" spans="1:16" ht="15.75" hidden="1" x14ac:dyDescent="0.25">
      <c r="A1223" s="14">
        <v>22</v>
      </c>
      <c r="B1223" s="14">
        <v>30</v>
      </c>
      <c r="C1223" s="8" t="s">
        <v>1744</v>
      </c>
      <c r="D1223" s="28" t="s">
        <v>2510</v>
      </c>
      <c r="E1223" s="12" t="s">
        <v>86</v>
      </c>
      <c r="F1223" s="1"/>
      <c r="G1223" s="1">
        <v>6.3940000000000001</v>
      </c>
      <c r="H1223" s="1">
        <v>2.7E-2</v>
      </c>
      <c r="I1223" s="12">
        <f t="shared" si="386"/>
        <v>6.4210000000000003</v>
      </c>
      <c r="J1223" s="12">
        <v>3687.3620000000001</v>
      </c>
      <c r="K1223" s="12"/>
      <c r="L1223" s="12">
        <f t="shared" si="387"/>
        <v>3687.3620000000001</v>
      </c>
      <c r="M1223" s="12">
        <f t="shared" si="373"/>
        <v>574.26600218034571</v>
      </c>
      <c r="N1223" s="12" t="e">
        <f t="shared" si="388"/>
        <v>#REF!</v>
      </c>
      <c r="O1223" s="12" t="e">
        <f t="shared" si="389"/>
        <v>#REF!</v>
      </c>
      <c r="P1223" s="12" t="e">
        <f t="shared" si="390"/>
        <v>#REF!</v>
      </c>
    </row>
    <row r="1224" spans="1:16" ht="15.75" hidden="1" x14ac:dyDescent="0.25">
      <c r="A1224" s="14">
        <v>22</v>
      </c>
      <c r="B1224" s="14">
        <v>31</v>
      </c>
      <c r="C1224" s="8" t="s">
        <v>1744</v>
      </c>
      <c r="D1224" s="28" t="s">
        <v>2511</v>
      </c>
      <c r="E1224" s="12" t="s">
        <v>2687</v>
      </c>
      <c r="F1224" s="1"/>
      <c r="G1224" s="1">
        <v>7.6269999999999998</v>
      </c>
      <c r="H1224" s="1">
        <v>0.01</v>
      </c>
      <c r="I1224" s="12">
        <f t="shared" si="386"/>
        <v>7.6369999999999996</v>
      </c>
      <c r="J1224" s="12">
        <v>5520.4809999999998</v>
      </c>
      <c r="K1224" s="12"/>
      <c r="L1224" s="12">
        <f t="shared" si="387"/>
        <v>5520.4809999999998</v>
      </c>
      <c r="M1224" s="12">
        <f t="shared" si="373"/>
        <v>722.85989262799535</v>
      </c>
      <c r="N1224" s="12" t="e">
        <f t="shared" si="388"/>
        <v>#REF!</v>
      </c>
      <c r="O1224" s="12" t="e">
        <f t="shared" si="389"/>
        <v>#REF!</v>
      </c>
      <c r="P1224" s="12" t="e">
        <f t="shared" si="390"/>
        <v>#REF!</v>
      </c>
    </row>
    <row r="1225" spans="1:16" ht="15.75" hidden="1" x14ac:dyDescent="0.25">
      <c r="A1225" s="14">
        <v>22</v>
      </c>
      <c r="B1225" s="14">
        <v>32</v>
      </c>
      <c r="C1225" s="8" t="s">
        <v>1744</v>
      </c>
      <c r="D1225" s="28" t="s">
        <v>2513</v>
      </c>
      <c r="E1225" s="12" t="s">
        <v>1792</v>
      </c>
      <c r="F1225" s="1"/>
      <c r="G1225" s="1">
        <v>12.35</v>
      </c>
      <c r="H1225" s="1">
        <v>2.4E-2</v>
      </c>
      <c r="I1225" s="12">
        <f t="shared" si="386"/>
        <v>12.373999999999999</v>
      </c>
      <c r="J1225" s="12">
        <v>25157.246999999999</v>
      </c>
      <c r="K1225" s="12"/>
      <c r="L1225" s="12">
        <f t="shared" si="387"/>
        <v>25157.246999999999</v>
      </c>
      <c r="M1225" s="12">
        <f t="shared" si="373"/>
        <v>2033.0731372232101</v>
      </c>
      <c r="N1225" s="12" t="e">
        <f t="shared" si="388"/>
        <v>#REF!</v>
      </c>
      <c r="O1225" s="12" t="e">
        <f t="shared" si="389"/>
        <v>#REF!</v>
      </c>
      <c r="P1225" s="12" t="e">
        <f t="shared" si="390"/>
        <v>#REF!</v>
      </c>
    </row>
    <row r="1226" spans="1:16" ht="15.75" hidden="1" x14ac:dyDescent="0.25">
      <c r="A1226" s="14">
        <v>22</v>
      </c>
      <c r="B1226" s="14">
        <v>33</v>
      </c>
      <c r="C1226" s="8" t="s">
        <v>1744</v>
      </c>
      <c r="D1226" s="28" t="s">
        <v>2514</v>
      </c>
      <c r="E1226" s="12" t="s">
        <v>2512</v>
      </c>
      <c r="F1226" s="1"/>
      <c r="G1226" s="1">
        <v>37.689</v>
      </c>
      <c r="H1226" s="1">
        <v>0.06</v>
      </c>
      <c r="I1226" s="12">
        <f t="shared" si="386"/>
        <v>37.749000000000002</v>
      </c>
      <c r="J1226" s="12">
        <v>28751.762999999999</v>
      </c>
      <c r="K1226" s="12"/>
      <c r="L1226" s="12">
        <f t="shared" si="387"/>
        <v>28751.762999999999</v>
      </c>
      <c r="M1226" s="12">
        <f t="shared" si="373"/>
        <v>761.65628228562343</v>
      </c>
      <c r="N1226" s="12" t="e">
        <f t="shared" si="388"/>
        <v>#REF!</v>
      </c>
      <c r="O1226" s="12" t="e">
        <f t="shared" si="389"/>
        <v>#REF!</v>
      </c>
      <c r="P1226" s="12" t="e">
        <f t="shared" si="390"/>
        <v>#REF!</v>
      </c>
    </row>
    <row r="1227" spans="1:16" ht="15.75" hidden="1" x14ac:dyDescent="0.25">
      <c r="A1227" s="14">
        <v>22</v>
      </c>
      <c r="B1227" s="14">
        <v>34</v>
      </c>
      <c r="C1227" s="8" t="s">
        <v>1744</v>
      </c>
      <c r="D1227" s="28" t="s">
        <v>2515</v>
      </c>
      <c r="E1227" s="12" t="s">
        <v>2512</v>
      </c>
      <c r="F1227" s="1"/>
      <c r="G1227" s="1">
        <v>10.651</v>
      </c>
      <c r="H1227" s="1">
        <v>0.11700000000000001</v>
      </c>
      <c r="I1227" s="12">
        <f t="shared" si="386"/>
        <v>10.768000000000001</v>
      </c>
      <c r="J1227" s="12">
        <v>8097.4380000000001</v>
      </c>
      <c r="K1227" s="12"/>
      <c r="L1227" s="12">
        <f t="shared" si="387"/>
        <v>8097.4380000000001</v>
      </c>
      <c r="M1227" s="12">
        <f t="shared" si="373"/>
        <v>751.99089895988106</v>
      </c>
      <c r="N1227" s="12" t="e">
        <f t="shared" si="388"/>
        <v>#REF!</v>
      </c>
      <c r="O1227" s="12" t="e">
        <f t="shared" si="389"/>
        <v>#REF!</v>
      </c>
      <c r="P1227" s="12" t="e">
        <f t="shared" si="390"/>
        <v>#REF!</v>
      </c>
    </row>
    <row r="1228" spans="1:16" ht="31.5" hidden="1" x14ac:dyDescent="0.25">
      <c r="A1228" s="14">
        <v>22</v>
      </c>
      <c r="B1228" s="14">
        <v>35</v>
      </c>
      <c r="C1228" s="8" t="s">
        <v>1744</v>
      </c>
      <c r="D1228" s="28" t="s">
        <v>2516</v>
      </c>
      <c r="E1228" s="12" t="s">
        <v>2688</v>
      </c>
      <c r="F1228" s="1"/>
      <c r="G1228" s="1">
        <v>4.4130000000000003</v>
      </c>
      <c r="H1228" s="1">
        <v>0.01</v>
      </c>
      <c r="I1228" s="12">
        <f t="shared" si="386"/>
        <v>4.423</v>
      </c>
      <c r="J1228" s="12">
        <v>1630.614</v>
      </c>
      <c r="K1228" s="12"/>
      <c r="L1228" s="12">
        <f t="shared" si="387"/>
        <v>1630.614</v>
      </c>
      <c r="M1228" s="12">
        <f t="shared" si="373"/>
        <v>368.66696812118471</v>
      </c>
      <c r="N1228" s="12" t="e">
        <f t="shared" si="388"/>
        <v>#REF!</v>
      </c>
      <c r="O1228" s="12" t="e">
        <f t="shared" si="389"/>
        <v>#REF!</v>
      </c>
      <c r="P1228" s="12" t="e">
        <f t="shared" si="390"/>
        <v>#REF!</v>
      </c>
    </row>
    <row r="1229" spans="1:16" ht="15.75" hidden="1" x14ac:dyDescent="0.25">
      <c r="A1229" s="14">
        <v>22</v>
      </c>
      <c r="B1229" s="14">
        <v>36</v>
      </c>
      <c r="C1229" s="8" t="s">
        <v>1744</v>
      </c>
      <c r="D1229" s="28" t="s">
        <v>2517</v>
      </c>
      <c r="E1229" s="12" t="s">
        <v>2689</v>
      </c>
      <c r="F1229" s="1"/>
      <c r="G1229" s="1">
        <v>4.7530000000000001</v>
      </c>
      <c r="H1229" s="1">
        <v>1.4999999999999999E-2</v>
      </c>
      <c r="I1229" s="12">
        <f t="shared" si="386"/>
        <v>4.7679999999999998</v>
      </c>
      <c r="J1229" s="12">
        <v>2070.81</v>
      </c>
      <c r="K1229" s="12"/>
      <c r="L1229" s="12">
        <f t="shared" si="387"/>
        <v>2070.81</v>
      </c>
      <c r="M1229" s="12">
        <f t="shared" si="373"/>
        <v>434.31417785234902</v>
      </c>
      <c r="N1229" s="12" t="e">
        <f t="shared" si="388"/>
        <v>#REF!</v>
      </c>
      <c r="O1229" s="12" t="e">
        <f t="shared" si="389"/>
        <v>#REF!</v>
      </c>
      <c r="P1229" s="12" t="e">
        <f t="shared" si="390"/>
        <v>#REF!</v>
      </c>
    </row>
    <row r="1230" spans="1:16" ht="15.75" hidden="1" x14ac:dyDescent="0.25">
      <c r="A1230" s="14">
        <v>22</v>
      </c>
      <c r="B1230" s="14">
        <v>37</v>
      </c>
      <c r="C1230" s="8" t="s">
        <v>1744</v>
      </c>
      <c r="D1230" s="28" t="s">
        <v>2518</v>
      </c>
      <c r="E1230" s="12" t="s">
        <v>1793</v>
      </c>
      <c r="F1230" s="1"/>
      <c r="G1230" s="1">
        <v>19.667999999999999</v>
      </c>
      <c r="H1230" s="1">
        <v>0.20799999999999999</v>
      </c>
      <c r="I1230" s="12">
        <f t="shared" si="386"/>
        <v>19.875999999999998</v>
      </c>
      <c r="J1230" s="12">
        <v>18401.206999999999</v>
      </c>
      <c r="K1230" s="12"/>
      <c r="L1230" s="12">
        <f t="shared" si="387"/>
        <v>18401.206999999999</v>
      </c>
      <c r="M1230" s="12">
        <f t="shared" si="373"/>
        <v>925.80031193399077</v>
      </c>
      <c r="N1230" s="12" t="e">
        <f t="shared" si="388"/>
        <v>#REF!</v>
      </c>
      <c r="O1230" s="12" t="e">
        <f t="shared" si="389"/>
        <v>#REF!</v>
      </c>
      <c r="P1230" s="12" t="e">
        <f t="shared" si="390"/>
        <v>#REF!</v>
      </c>
    </row>
    <row r="1231" spans="1:16" ht="15.75" hidden="1" x14ac:dyDescent="0.25">
      <c r="A1231" s="14">
        <v>22</v>
      </c>
      <c r="B1231" s="14">
        <v>38</v>
      </c>
      <c r="C1231" s="8" t="s">
        <v>1744</v>
      </c>
      <c r="D1231" s="28" t="s">
        <v>2519</v>
      </c>
      <c r="E1231" s="12" t="s">
        <v>1794</v>
      </c>
      <c r="F1231" s="1"/>
      <c r="G1231" s="1">
        <v>7.7130000000000001</v>
      </c>
      <c r="H1231" s="1">
        <v>1.2E-2</v>
      </c>
      <c r="I1231" s="12">
        <f t="shared" si="386"/>
        <v>7.7249999999999996</v>
      </c>
      <c r="J1231" s="12">
        <v>8646.2980000000007</v>
      </c>
      <c r="K1231" s="12"/>
      <c r="L1231" s="12">
        <f t="shared" si="387"/>
        <v>8646.2980000000007</v>
      </c>
      <c r="M1231" s="12">
        <f t="shared" si="373"/>
        <v>1119.2618770226538</v>
      </c>
      <c r="N1231" s="12" t="e">
        <f t="shared" si="388"/>
        <v>#REF!</v>
      </c>
      <c r="O1231" s="12" t="e">
        <f t="shared" si="389"/>
        <v>#REF!</v>
      </c>
      <c r="P1231" s="12" t="e">
        <f t="shared" si="390"/>
        <v>#REF!</v>
      </c>
    </row>
    <row r="1232" spans="1:16" ht="15.75" hidden="1" x14ac:dyDescent="0.25">
      <c r="A1232" s="14">
        <v>22</v>
      </c>
      <c r="B1232" s="14">
        <v>39</v>
      </c>
      <c r="C1232" s="8" t="s">
        <v>1744</v>
      </c>
      <c r="D1232" s="28" t="s">
        <v>2520</v>
      </c>
      <c r="E1232" s="12" t="s">
        <v>1795</v>
      </c>
      <c r="F1232" s="1"/>
      <c r="G1232" s="1">
        <v>7.1150000000000002</v>
      </c>
      <c r="H1232" s="1">
        <v>8.9999999999999993E-3</v>
      </c>
      <c r="I1232" s="12">
        <f t="shared" si="386"/>
        <v>7.1240000000000006</v>
      </c>
      <c r="J1232" s="12">
        <v>3390.7829999999999</v>
      </c>
      <c r="K1232" s="12"/>
      <c r="L1232" s="12">
        <f t="shared" si="387"/>
        <v>3390.7829999999999</v>
      </c>
      <c r="M1232" s="12">
        <f t="shared" si="373"/>
        <v>475.96617069062319</v>
      </c>
      <c r="N1232" s="12" t="e">
        <f t="shared" si="388"/>
        <v>#REF!</v>
      </c>
      <c r="O1232" s="12" t="e">
        <f t="shared" si="389"/>
        <v>#REF!</v>
      </c>
      <c r="P1232" s="12" t="e">
        <f t="shared" si="390"/>
        <v>#REF!</v>
      </c>
    </row>
    <row r="1233" spans="1:16" ht="15.75" hidden="1" x14ac:dyDescent="0.25">
      <c r="A1233" s="14">
        <v>22</v>
      </c>
      <c r="B1233" s="14">
        <v>40</v>
      </c>
      <c r="C1233" s="8" t="s">
        <v>1744</v>
      </c>
      <c r="D1233" s="28" t="s">
        <v>2521</v>
      </c>
      <c r="E1233" s="12" t="s">
        <v>1796</v>
      </c>
      <c r="F1233" s="1"/>
      <c r="G1233" s="1">
        <v>8.0939999999999994</v>
      </c>
      <c r="H1233" s="1">
        <v>3.9E-2</v>
      </c>
      <c r="I1233" s="12">
        <f t="shared" si="386"/>
        <v>8.1329999999999991</v>
      </c>
      <c r="J1233" s="12">
        <v>9218.3799999999992</v>
      </c>
      <c r="K1233" s="12"/>
      <c r="L1233" s="12">
        <f t="shared" si="387"/>
        <v>9218.3799999999992</v>
      </c>
      <c r="M1233" s="12">
        <f t="shared" si="373"/>
        <v>1133.453830075003</v>
      </c>
      <c r="N1233" s="12" t="e">
        <f t="shared" si="388"/>
        <v>#REF!</v>
      </c>
      <c r="O1233" s="12" t="e">
        <f t="shared" si="389"/>
        <v>#REF!</v>
      </c>
      <c r="P1233" s="12" t="e">
        <f t="shared" si="390"/>
        <v>#REF!</v>
      </c>
    </row>
    <row r="1234" spans="1:16" ht="15.75" hidden="1" x14ac:dyDescent="0.25">
      <c r="A1234" s="14">
        <v>22</v>
      </c>
      <c r="B1234" s="14">
        <v>41</v>
      </c>
      <c r="C1234" s="8" t="s">
        <v>1744</v>
      </c>
      <c r="D1234" s="28" t="s">
        <v>2522</v>
      </c>
      <c r="E1234" s="12" t="s">
        <v>1797</v>
      </c>
      <c r="F1234" s="1"/>
      <c r="G1234" s="1">
        <v>6.3380000000000001</v>
      </c>
      <c r="H1234" s="1">
        <v>4.9000000000000002E-2</v>
      </c>
      <c r="I1234" s="12">
        <f t="shared" si="386"/>
        <v>6.3870000000000005</v>
      </c>
      <c r="J1234" s="12">
        <v>7239.4120000000003</v>
      </c>
      <c r="K1234" s="12"/>
      <c r="L1234" s="12">
        <f t="shared" si="387"/>
        <v>7239.4120000000003</v>
      </c>
      <c r="M1234" s="12">
        <f t="shared" si="373"/>
        <v>1133.4604665727259</v>
      </c>
      <c r="N1234" s="12" t="e">
        <f t="shared" si="388"/>
        <v>#REF!</v>
      </c>
      <c r="O1234" s="12" t="e">
        <f t="shared" si="389"/>
        <v>#REF!</v>
      </c>
      <c r="P1234" s="12" t="e">
        <f t="shared" si="390"/>
        <v>#REF!</v>
      </c>
    </row>
    <row r="1235" spans="1:16" ht="15.75" hidden="1" x14ac:dyDescent="0.25">
      <c r="A1235" s="14">
        <v>22</v>
      </c>
      <c r="B1235" s="14">
        <v>43</v>
      </c>
      <c r="C1235" s="8" t="s">
        <v>1744</v>
      </c>
      <c r="D1235" s="28" t="s">
        <v>2690</v>
      </c>
      <c r="E1235" s="12" t="s">
        <v>2691</v>
      </c>
      <c r="F1235" s="1"/>
      <c r="G1235" s="1">
        <v>25.788</v>
      </c>
      <c r="H1235" s="1">
        <v>7.2999999999999995E-2</v>
      </c>
      <c r="I1235" s="12">
        <f t="shared" si="386"/>
        <v>25.861000000000001</v>
      </c>
      <c r="J1235" s="12">
        <v>17903.308000000001</v>
      </c>
      <c r="K1235" s="12"/>
      <c r="L1235" s="12">
        <f t="shared" si="387"/>
        <v>17903.308000000001</v>
      </c>
      <c r="M1235" s="12">
        <f t="shared" si="373"/>
        <v>692.28985731410228</v>
      </c>
      <c r="N1235" s="12" t="e">
        <f t="shared" si="388"/>
        <v>#REF!</v>
      </c>
      <c r="O1235" s="12" t="e">
        <f t="shared" si="389"/>
        <v>#REF!</v>
      </c>
      <c r="P1235" s="12" t="e">
        <f t="shared" si="390"/>
        <v>#REF!</v>
      </c>
    </row>
    <row r="1236" spans="1:16" ht="15.75" hidden="1" x14ac:dyDescent="0.25">
      <c r="A1236" s="14">
        <v>22</v>
      </c>
      <c r="B1236" s="14">
        <v>44</v>
      </c>
      <c r="C1236" s="8" t="s">
        <v>1744</v>
      </c>
      <c r="D1236" s="28" t="s">
        <v>54</v>
      </c>
      <c r="E1236" s="12" t="s">
        <v>1798</v>
      </c>
      <c r="F1236" s="1"/>
      <c r="G1236" s="1">
        <v>32.442999999999998</v>
      </c>
      <c r="H1236" s="1">
        <v>0.189</v>
      </c>
      <c r="I1236" s="12">
        <f t="shared" si="386"/>
        <v>32.631999999999998</v>
      </c>
      <c r="J1236" s="12">
        <v>23662.06</v>
      </c>
      <c r="K1236" s="12"/>
      <c r="L1236" s="12">
        <f t="shared" si="387"/>
        <v>23662.06</v>
      </c>
      <c r="M1236" s="12">
        <f t="shared" si="373"/>
        <v>725.11828879627365</v>
      </c>
      <c r="N1236" s="12" t="e">
        <f t="shared" si="388"/>
        <v>#REF!</v>
      </c>
      <c r="O1236" s="12" t="e">
        <f t="shared" si="389"/>
        <v>#REF!</v>
      </c>
      <c r="P1236" s="12" t="e">
        <f t="shared" si="390"/>
        <v>#REF!</v>
      </c>
    </row>
    <row r="1237" spans="1:16" ht="15.75" hidden="1" x14ac:dyDescent="0.25">
      <c r="A1237" s="14">
        <v>22</v>
      </c>
      <c r="B1237" s="14">
        <v>45</v>
      </c>
      <c r="C1237" s="8" t="s">
        <v>1744</v>
      </c>
      <c r="D1237" s="28" t="s">
        <v>55</v>
      </c>
      <c r="E1237" s="12" t="s">
        <v>1799</v>
      </c>
      <c r="F1237" s="1"/>
      <c r="G1237" s="1">
        <v>8.3079999999999998</v>
      </c>
      <c r="H1237" s="1">
        <v>3.4000000000000002E-2</v>
      </c>
      <c r="I1237" s="12">
        <f t="shared" si="386"/>
        <v>8.3420000000000005</v>
      </c>
      <c r="J1237" s="12">
        <v>7998.29</v>
      </c>
      <c r="K1237" s="12"/>
      <c r="L1237" s="12">
        <f t="shared" si="387"/>
        <v>7998.29</v>
      </c>
      <c r="M1237" s="12">
        <f t="shared" si="373"/>
        <v>958.7976504435386</v>
      </c>
      <c r="N1237" s="12" t="e">
        <f t="shared" si="388"/>
        <v>#REF!</v>
      </c>
      <c r="O1237" s="12" t="e">
        <f t="shared" si="389"/>
        <v>#REF!</v>
      </c>
      <c r="P1237" s="12" t="e">
        <f t="shared" si="390"/>
        <v>#REF!</v>
      </c>
    </row>
    <row r="1238" spans="1:16" ht="15.75" hidden="1" x14ac:dyDescent="0.25">
      <c r="A1238" s="14">
        <v>22</v>
      </c>
      <c r="B1238" s="14">
        <v>46</v>
      </c>
      <c r="C1238" s="8" t="s">
        <v>1744</v>
      </c>
      <c r="D1238" s="28" t="s">
        <v>56</v>
      </c>
      <c r="E1238" s="12" t="s">
        <v>57</v>
      </c>
      <c r="F1238" s="1"/>
      <c r="G1238" s="1">
        <v>4.9909999999999997</v>
      </c>
      <c r="H1238" s="1">
        <v>5.0000000000000001E-3</v>
      </c>
      <c r="I1238" s="12">
        <f t="shared" si="386"/>
        <v>4.9959999999999996</v>
      </c>
      <c r="J1238" s="12">
        <v>10782.692999999999</v>
      </c>
      <c r="K1238" s="12"/>
      <c r="L1238" s="12">
        <f t="shared" si="387"/>
        <v>10782.692999999999</v>
      </c>
      <c r="M1238" s="12">
        <f t="shared" si="373"/>
        <v>2158.2652121697361</v>
      </c>
      <c r="N1238" s="12" t="e">
        <f t="shared" si="388"/>
        <v>#REF!</v>
      </c>
      <c r="O1238" s="12" t="e">
        <f t="shared" si="389"/>
        <v>#REF!</v>
      </c>
      <c r="P1238" s="12" t="e">
        <f t="shared" si="390"/>
        <v>#REF!</v>
      </c>
    </row>
    <row r="1239" spans="1:16" ht="15.75" hidden="1" x14ac:dyDescent="0.25">
      <c r="A1239" s="14">
        <v>22</v>
      </c>
      <c r="B1239" s="14">
        <v>47</v>
      </c>
      <c r="C1239" s="8" t="s">
        <v>1744</v>
      </c>
      <c r="D1239" s="28" t="s">
        <v>58</v>
      </c>
      <c r="E1239" s="12" t="s">
        <v>59</v>
      </c>
      <c r="F1239" s="1"/>
      <c r="G1239" s="1">
        <v>7.8840000000000003</v>
      </c>
      <c r="H1239" s="1">
        <v>3.4000000000000002E-2</v>
      </c>
      <c r="I1239" s="12">
        <f t="shared" si="386"/>
        <v>7.9180000000000001</v>
      </c>
      <c r="J1239" s="12">
        <v>7087.0990000000002</v>
      </c>
      <c r="K1239" s="12"/>
      <c r="L1239" s="12">
        <f t="shared" si="387"/>
        <v>7087.0990000000002</v>
      </c>
      <c r="M1239" s="12">
        <f t="shared" si="373"/>
        <v>895.06175801970198</v>
      </c>
      <c r="N1239" s="12" t="e">
        <f t="shared" si="388"/>
        <v>#REF!</v>
      </c>
      <c r="O1239" s="12" t="e">
        <f t="shared" si="389"/>
        <v>#REF!</v>
      </c>
      <c r="P1239" s="12" t="e">
        <f t="shared" si="390"/>
        <v>#REF!</v>
      </c>
    </row>
    <row r="1240" spans="1:16" ht="15.75" hidden="1" x14ac:dyDescent="0.25">
      <c r="A1240" s="14">
        <v>22</v>
      </c>
      <c r="B1240" s="14">
        <v>49</v>
      </c>
      <c r="C1240" s="8" t="s">
        <v>1744</v>
      </c>
      <c r="D1240" s="28" t="s">
        <v>60</v>
      </c>
      <c r="E1240" s="12" t="s">
        <v>1800</v>
      </c>
      <c r="F1240" s="1"/>
      <c r="G1240" s="1">
        <v>20.207999999999998</v>
      </c>
      <c r="H1240" s="1">
        <v>0.13900000000000001</v>
      </c>
      <c r="I1240" s="12">
        <f t="shared" si="386"/>
        <v>20.346999999999998</v>
      </c>
      <c r="J1240" s="12">
        <v>18373.356</v>
      </c>
      <c r="K1240" s="12"/>
      <c r="L1240" s="12">
        <f t="shared" si="387"/>
        <v>18373.356</v>
      </c>
      <c r="M1240" s="12">
        <f t="shared" si="373"/>
        <v>903.00073720941668</v>
      </c>
      <c r="N1240" s="12" t="e">
        <f t="shared" si="388"/>
        <v>#REF!</v>
      </c>
      <c r="O1240" s="12" t="e">
        <f t="shared" si="389"/>
        <v>#REF!</v>
      </c>
      <c r="P1240" s="12" t="e">
        <f t="shared" si="390"/>
        <v>#REF!</v>
      </c>
    </row>
    <row r="1241" spans="1:16" ht="15.75" hidden="1" x14ac:dyDescent="0.25">
      <c r="A1241" s="14">
        <v>22</v>
      </c>
      <c r="B1241" s="14">
        <v>50</v>
      </c>
      <c r="C1241" s="8" t="s">
        <v>1744</v>
      </c>
      <c r="D1241" s="28" t="s">
        <v>61</v>
      </c>
      <c r="E1241" s="12" t="s">
        <v>1801</v>
      </c>
      <c r="F1241" s="1"/>
      <c r="G1241" s="1">
        <v>12.544</v>
      </c>
      <c r="H1241" s="1">
        <v>2.5999999999999999E-2</v>
      </c>
      <c r="I1241" s="12">
        <f t="shared" si="386"/>
        <v>12.57</v>
      </c>
      <c r="J1241" s="12">
        <v>9310.9989999999998</v>
      </c>
      <c r="K1241" s="12"/>
      <c r="L1241" s="12">
        <f t="shared" si="387"/>
        <v>9310.9989999999998</v>
      </c>
      <c r="M1241" s="12">
        <f t="shared" si="373"/>
        <v>740.7318217979315</v>
      </c>
      <c r="N1241" s="12" t="e">
        <f t="shared" si="388"/>
        <v>#REF!</v>
      </c>
      <c r="O1241" s="12" t="e">
        <f t="shared" si="389"/>
        <v>#REF!</v>
      </c>
      <c r="P1241" s="12" t="e">
        <f t="shared" si="390"/>
        <v>#REF!</v>
      </c>
    </row>
    <row r="1242" spans="1:16" ht="15.75" hidden="1" x14ac:dyDescent="0.25">
      <c r="A1242" s="14">
        <v>22</v>
      </c>
      <c r="B1242" s="14">
        <v>51</v>
      </c>
      <c r="C1242" s="8" t="s">
        <v>1744</v>
      </c>
      <c r="D1242" s="28" t="s">
        <v>458</v>
      </c>
      <c r="E1242" s="12" t="s">
        <v>459</v>
      </c>
      <c r="F1242" s="1"/>
      <c r="G1242" s="1">
        <v>22.56</v>
      </c>
      <c r="H1242" s="1">
        <v>5.7000000000000002E-2</v>
      </c>
      <c r="I1242" s="12">
        <f t="shared" si="386"/>
        <v>22.616999999999997</v>
      </c>
      <c r="J1242" s="12">
        <v>26351.597000000002</v>
      </c>
      <c r="K1242" s="12"/>
      <c r="L1242" s="12">
        <f t="shared" si="387"/>
        <v>26351.597000000002</v>
      </c>
      <c r="M1242" s="12">
        <f t="shared" si="373"/>
        <v>1165.1234469646729</v>
      </c>
      <c r="N1242" s="12" t="e">
        <f t="shared" si="388"/>
        <v>#REF!</v>
      </c>
      <c r="O1242" s="12" t="e">
        <f t="shared" si="389"/>
        <v>#REF!</v>
      </c>
      <c r="P1242" s="12" t="e">
        <f t="shared" si="390"/>
        <v>#REF!</v>
      </c>
    </row>
    <row r="1243" spans="1:16" ht="15.75" hidden="1" x14ac:dyDescent="0.25">
      <c r="A1243" s="14">
        <v>22</v>
      </c>
      <c r="B1243" s="14">
        <v>52</v>
      </c>
      <c r="C1243" s="8" t="s">
        <v>1744</v>
      </c>
      <c r="D1243" s="28" t="s">
        <v>460</v>
      </c>
      <c r="E1243" s="12" t="s">
        <v>461</v>
      </c>
      <c r="F1243" s="1"/>
      <c r="G1243" s="1">
        <v>2.8490000000000002</v>
      </c>
      <c r="H1243" s="1">
        <v>1.4999999999999999E-2</v>
      </c>
      <c r="I1243" s="12">
        <f t="shared" si="386"/>
        <v>2.8640000000000003</v>
      </c>
      <c r="J1243" s="12">
        <v>2475.9189999999999</v>
      </c>
      <c r="K1243" s="12"/>
      <c r="L1243" s="12">
        <f t="shared" si="387"/>
        <v>2475.9189999999999</v>
      </c>
      <c r="M1243" s="12">
        <f t="shared" si="373"/>
        <v>864.49685754189932</v>
      </c>
      <c r="N1243" s="12" t="e">
        <f t="shared" si="388"/>
        <v>#REF!</v>
      </c>
      <c r="O1243" s="12" t="e">
        <f t="shared" si="389"/>
        <v>#REF!</v>
      </c>
      <c r="P1243" s="12" t="e">
        <f t="shared" si="390"/>
        <v>#REF!</v>
      </c>
    </row>
    <row r="1244" spans="1:16" ht="15.75" hidden="1" x14ac:dyDescent="0.25">
      <c r="A1244" s="14">
        <v>22</v>
      </c>
      <c r="B1244" s="14">
        <v>53</v>
      </c>
      <c r="C1244" s="8" t="s">
        <v>1744</v>
      </c>
      <c r="D1244" s="28" t="s">
        <v>462</v>
      </c>
      <c r="E1244" s="12" t="s">
        <v>463</v>
      </c>
      <c r="F1244" s="1"/>
      <c r="G1244" s="1">
        <v>6.7320000000000002</v>
      </c>
      <c r="H1244" s="1">
        <v>1.9E-2</v>
      </c>
      <c r="I1244" s="12">
        <f t="shared" si="386"/>
        <v>6.7510000000000003</v>
      </c>
      <c r="J1244" s="12">
        <v>8588.3310000000001</v>
      </c>
      <c r="K1244" s="12"/>
      <c r="L1244" s="12">
        <f t="shared" si="387"/>
        <v>8588.3310000000001</v>
      </c>
      <c r="M1244" s="12">
        <f t="shared" si="373"/>
        <v>1272.1568656495333</v>
      </c>
      <c r="N1244" s="12" t="e">
        <f t="shared" si="388"/>
        <v>#REF!</v>
      </c>
      <c r="O1244" s="12" t="e">
        <f t="shared" si="389"/>
        <v>#REF!</v>
      </c>
      <c r="P1244" s="12" t="e">
        <f t="shared" si="390"/>
        <v>#REF!</v>
      </c>
    </row>
    <row r="1245" spans="1:16" ht="15.75" hidden="1" x14ac:dyDescent="0.25">
      <c r="A1245" s="14">
        <v>22</v>
      </c>
      <c r="B1245" s="14">
        <v>54</v>
      </c>
      <c r="C1245" s="8" t="s">
        <v>1744</v>
      </c>
      <c r="D1245" s="28" t="s">
        <v>464</v>
      </c>
      <c r="E1245" s="12" t="s">
        <v>465</v>
      </c>
      <c r="F1245" s="1"/>
      <c r="G1245" s="1">
        <v>13.311</v>
      </c>
      <c r="H1245" s="1">
        <v>4.8000000000000001E-2</v>
      </c>
      <c r="I1245" s="12">
        <f t="shared" si="386"/>
        <v>13.359</v>
      </c>
      <c r="J1245" s="12">
        <v>8073.0969999999998</v>
      </c>
      <c r="K1245" s="12"/>
      <c r="L1245" s="12">
        <f t="shared" si="387"/>
        <v>8073.0969999999998</v>
      </c>
      <c r="M1245" s="12">
        <f t="shared" si="373"/>
        <v>604.31896100007486</v>
      </c>
      <c r="N1245" s="12" t="e">
        <f t="shared" si="388"/>
        <v>#REF!</v>
      </c>
      <c r="O1245" s="12" t="e">
        <f t="shared" si="389"/>
        <v>#REF!</v>
      </c>
      <c r="P1245" s="12" t="e">
        <f t="shared" si="390"/>
        <v>#REF!</v>
      </c>
    </row>
    <row r="1246" spans="1:16" ht="15.75" hidden="1" x14ac:dyDescent="0.25">
      <c r="A1246" s="49">
        <v>22</v>
      </c>
      <c r="B1246" s="49">
        <v>55</v>
      </c>
      <c r="C1246" s="50" t="s">
        <v>1744</v>
      </c>
      <c r="D1246" s="51" t="s">
        <v>947</v>
      </c>
      <c r="E1246" s="52" t="s">
        <v>948</v>
      </c>
      <c r="F1246" s="53"/>
      <c r="G1246" s="53">
        <v>32.067</v>
      </c>
      <c r="H1246" s="53">
        <v>0.13600000000000001</v>
      </c>
      <c r="I1246" s="12">
        <f t="shared" si="386"/>
        <v>32.203000000000003</v>
      </c>
      <c r="J1246" s="52">
        <v>26410.41</v>
      </c>
      <c r="K1246" s="52"/>
      <c r="L1246" s="52">
        <f t="shared" si="387"/>
        <v>26410.41</v>
      </c>
      <c r="M1246" s="52">
        <f t="shared" si="373"/>
        <v>820.12265937956079</v>
      </c>
      <c r="N1246" s="12" t="e">
        <f t="shared" si="388"/>
        <v>#REF!</v>
      </c>
      <c r="O1246" s="12" t="e">
        <f t="shared" si="389"/>
        <v>#REF!</v>
      </c>
      <c r="P1246" s="12" t="e">
        <f t="shared" si="390"/>
        <v>#REF!</v>
      </c>
    </row>
    <row r="1247" spans="1:16" ht="31.5" hidden="1" x14ac:dyDescent="0.25">
      <c r="A1247" s="49">
        <v>22</v>
      </c>
      <c r="B1247" s="49">
        <v>56</v>
      </c>
      <c r="C1247" s="50" t="s">
        <v>1744</v>
      </c>
      <c r="D1247" s="51" t="s">
        <v>949</v>
      </c>
      <c r="E1247" s="52" t="s">
        <v>950</v>
      </c>
      <c r="F1247" s="53"/>
      <c r="G1247" s="53">
        <v>7.0940000000000003</v>
      </c>
      <c r="H1247" s="53">
        <v>5.0000000000000001E-3</v>
      </c>
      <c r="I1247" s="12">
        <f t="shared" si="386"/>
        <v>7.0990000000000002</v>
      </c>
      <c r="J1247" s="52">
        <v>6402.5559999999996</v>
      </c>
      <c r="K1247" s="52"/>
      <c r="L1247" s="52">
        <f t="shared" si="387"/>
        <v>6402.5559999999996</v>
      </c>
      <c r="M1247" s="52">
        <f t="shared" si="373"/>
        <v>901.89547823637122</v>
      </c>
      <c r="N1247" s="12" t="e">
        <f t="shared" si="388"/>
        <v>#REF!</v>
      </c>
      <c r="O1247" s="12" t="e">
        <f t="shared" si="389"/>
        <v>#REF!</v>
      </c>
      <c r="P1247" s="12" t="e">
        <f t="shared" si="390"/>
        <v>#REF!</v>
      </c>
    </row>
    <row r="1248" spans="1:16" ht="15.75" hidden="1" x14ac:dyDescent="0.25">
      <c r="A1248" s="49">
        <v>22</v>
      </c>
      <c r="B1248" s="49">
        <v>57</v>
      </c>
      <c r="C1248" s="50" t="s">
        <v>1744</v>
      </c>
      <c r="D1248" s="51" t="s">
        <v>951</v>
      </c>
      <c r="E1248" s="52" t="s">
        <v>952</v>
      </c>
      <c r="F1248" s="53"/>
      <c r="G1248" s="53">
        <v>6.2939999999999996</v>
      </c>
      <c r="H1248" s="53">
        <v>2.5999999999999999E-2</v>
      </c>
      <c r="I1248" s="12">
        <f t="shared" si="386"/>
        <v>6.3199999999999994</v>
      </c>
      <c r="J1248" s="52">
        <v>4450.8360000000002</v>
      </c>
      <c r="K1248" s="52"/>
      <c r="L1248" s="52">
        <f t="shared" si="387"/>
        <v>4450.8360000000002</v>
      </c>
      <c r="M1248" s="52">
        <f t="shared" si="373"/>
        <v>704.24620253164562</v>
      </c>
      <c r="N1248" s="12" t="e">
        <f t="shared" si="388"/>
        <v>#REF!</v>
      </c>
      <c r="O1248" s="12" t="e">
        <f t="shared" si="389"/>
        <v>#REF!</v>
      </c>
      <c r="P1248" s="12" t="e">
        <f t="shared" si="390"/>
        <v>#REF!</v>
      </c>
    </row>
    <row r="1249" spans="1:16" ht="15.75" hidden="1" x14ac:dyDescent="0.25">
      <c r="A1249" s="49">
        <v>22</v>
      </c>
      <c r="B1249" s="49">
        <v>58</v>
      </c>
      <c r="C1249" s="50" t="s">
        <v>1744</v>
      </c>
      <c r="D1249" s="51" t="s">
        <v>953</v>
      </c>
      <c r="E1249" s="52" t="s">
        <v>954</v>
      </c>
      <c r="F1249" s="53"/>
      <c r="G1249" s="53">
        <v>23.733000000000001</v>
      </c>
      <c r="H1249" s="53">
        <v>0.104</v>
      </c>
      <c r="I1249" s="12">
        <f t="shared" si="386"/>
        <v>23.837</v>
      </c>
      <c r="J1249" s="52">
        <v>39175.279000000002</v>
      </c>
      <c r="K1249" s="52"/>
      <c r="L1249" s="52">
        <f t="shared" si="387"/>
        <v>39175.279000000002</v>
      </c>
      <c r="M1249" s="52">
        <f t="shared" si="373"/>
        <v>1643.465159206276</v>
      </c>
      <c r="N1249" s="12" t="e">
        <f t="shared" si="388"/>
        <v>#REF!</v>
      </c>
      <c r="O1249" s="12" t="e">
        <f t="shared" si="389"/>
        <v>#REF!</v>
      </c>
      <c r="P1249" s="12" t="e">
        <f t="shared" si="390"/>
        <v>#REF!</v>
      </c>
    </row>
    <row r="1250" spans="1:16" ht="15.75" hidden="1" x14ac:dyDescent="0.25">
      <c r="A1250" s="49">
        <v>22</v>
      </c>
      <c r="B1250" s="49">
        <v>59</v>
      </c>
      <c r="C1250" s="50" t="s">
        <v>1744</v>
      </c>
      <c r="D1250" s="51" t="s">
        <v>955</v>
      </c>
      <c r="E1250" s="52" t="s">
        <v>956</v>
      </c>
      <c r="F1250" s="53"/>
      <c r="G1250" s="53">
        <v>4.3419999999999996</v>
      </c>
      <c r="H1250" s="53">
        <v>1.9E-2</v>
      </c>
      <c r="I1250" s="12">
        <f t="shared" si="386"/>
        <v>4.3609999999999998</v>
      </c>
      <c r="J1250" s="52">
        <v>3132.8319999999999</v>
      </c>
      <c r="K1250" s="52"/>
      <c r="L1250" s="52">
        <f t="shared" si="387"/>
        <v>3132.8319999999999</v>
      </c>
      <c r="M1250" s="52">
        <f t="shared" si="373"/>
        <v>718.37468470534282</v>
      </c>
      <c r="N1250" s="12" t="e">
        <f t="shared" si="388"/>
        <v>#REF!</v>
      </c>
      <c r="O1250" s="12" t="e">
        <f t="shared" si="389"/>
        <v>#REF!</v>
      </c>
      <c r="P1250" s="12" t="e">
        <f t="shared" si="390"/>
        <v>#REF!</v>
      </c>
    </row>
    <row r="1251" spans="1:16" ht="15.75" hidden="1" x14ac:dyDescent="0.25">
      <c r="A1251" s="49">
        <v>22</v>
      </c>
      <c r="B1251" s="49">
        <v>60</v>
      </c>
      <c r="C1251" s="50" t="s">
        <v>1744</v>
      </c>
      <c r="D1251" s="51" t="s">
        <v>957</v>
      </c>
      <c r="E1251" s="52" t="s">
        <v>958</v>
      </c>
      <c r="F1251" s="53"/>
      <c r="G1251" s="53">
        <v>4.0359999999999996</v>
      </c>
      <c r="H1251" s="53">
        <v>1.9E-2</v>
      </c>
      <c r="I1251" s="12">
        <f t="shared" si="386"/>
        <v>4.0549999999999997</v>
      </c>
      <c r="J1251" s="52">
        <v>5279.4139999999998</v>
      </c>
      <c r="K1251" s="52"/>
      <c r="L1251" s="52">
        <f t="shared" si="387"/>
        <v>5279.4139999999998</v>
      </c>
      <c r="M1251" s="52">
        <f t="shared" si="373"/>
        <v>1301.9516646115906</v>
      </c>
      <c r="N1251" s="12" t="e">
        <f t="shared" si="388"/>
        <v>#REF!</v>
      </c>
      <c r="O1251" s="12" t="e">
        <f t="shared" si="389"/>
        <v>#REF!</v>
      </c>
      <c r="P1251" s="12" t="e">
        <f t="shared" si="390"/>
        <v>#REF!</v>
      </c>
    </row>
    <row r="1252" spans="1:16" ht="31.5" hidden="1" x14ac:dyDescent="0.25">
      <c r="A1252" s="49">
        <v>22</v>
      </c>
      <c r="B1252" s="49">
        <v>61</v>
      </c>
      <c r="C1252" s="50" t="s">
        <v>1744</v>
      </c>
      <c r="D1252" s="51" t="s">
        <v>959</v>
      </c>
      <c r="E1252" s="52" t="s">
        <v>960</v>
      </c>
      <c r="F1252" s="53"/>
      <c r="G1252" s="53">
        <v>7.2649999999999997</v>
      </c>
      <c r="H1252" s="53">
        <v>4.4999999999999998E-2</v>
      </c>
      <c r="I1252" s="12">
        <f t="shared" si="386"/>
        <v>7.31</v>
      </c>
      <c r="J1252" s="52">
        <f>6624.567+839.317</f>
        <v>7463.884</v>
      </c>
      <c r="K1252" s="52"/>
      <c r="L1252" s="52">
        <f t="shared" si="387"/>
        <v>7463.884</v>
      </c>
      <c r="M1252" s="52">
        <f t="shared" si="373"/>
        <v>1021.0511627906977</v>
      </c>
      <c r="N1252" s="12" t="e">
        <f t="shared" si="388"/>
        <v>#REF!</v>
      </c>
      <c r="O1252" s="12" t="e">
        <f t="shared" si="389"/>
        <v>#REF!</v>
      </c>
      <c r="P1252" s="12" t="e">
        <f t="shared" si="390"/>
        <v>#REF!</v>
      </c>
    </row>
    <row r="1253" spans="1:16" ht="18.75" hidden="1" x14ac:dyDescent="0.3">
      <c r="A1253" s="49">
        <v>22</v>
      </c>
      <c r="B1253" s="49">
        <v>62</v>
      </c>
      <c r="C1253" s="12" t="s">
        <v>1744</v>
      </c>
      <c r="D1253" s="61" t="s">
        <v>9</v>
      </c>
      <c r="E1253" s="63" t="s">
        <v>10</v>
      </c>
      <c r="F1253" s="53"/>
      <c r="G1253" s="53">
        <v>4.1029999999999998</v>
      </c>
      <c r="H1253" s="53">
        <v>1.4999999999999999E-2</v>
      </c>
      <c r="I1253" s="12">
        <f t="shared" si="386"/>
        <v>4.1179999999999994</v>
      </c>
      <c r="J1253" s="52">
        <v>2275.2719999999999</v>
      </c>
      <c r="K1253" s="52"/>
      <c r="L1253" s="52">
        <f t="shared" ref="L1253:L1258" si="391">J1253+K1253</f>
        <v>2275.2719999999999</v>
      </c>
      <c r="M1253" s="52">
        <f t="shared" ref="M1253:M1258" si="392">L1253/I1253</f>
        <v>552.51869839728033</v>
      </c>
      <c r="N1253" s="12" t="e">
        <f t="shared" si="388"/>
        <v>#REF!</v>
      </c>
      <c r="O1253" s="12" t="e">
        <f t="shared" si="389"/>
        <v>#REF!</v>
      </c>
      <c r="P1253" s="12" t="e">
        <f t="shared" si="390"/>
        <v>#REF!</v>
      </c>
    </row>
    <row r="1254" spans="1:16" ht="18.75" hidden="1" x14ac:dyDescent="0.3">
      <c r="A1254" s="49">
        <v>22</v>
      </c>
      <c r="B1254" s="49">
        <v>63</v>
      </c>
      <c r="C1254" s="12" t="s">
        <v>1744</v>
      </c>
      <c r="D1254" s="61" t="s">
        <v>11</v>
      </c>
      <c r="E1254" s="63" t="s">
        <v>12</v>
      </c>
      <c r="F1254" s="53"/>
      <c r="G1254" s="53">
        <v>6.5759999999999996</v>
      </c>
      <c r="H1254" s="53">
        <v>5.8999999999999997E-2</v>
      </c>
      <c r="I1254" s="12">
        <f t="shared" si="386"/>
        <v>6.6349999999999998</v>
      </c>
      <c r="J1254" s="52">
        <v>5011.598</v>
      </c>
      <c r="K1254" s="52"/>
      <c r="L1254" s="52">
        <f t="shared" si="391"/>
        <v>5011.598</v>
      </c>
      <c r="M1254" s="52">
        <f t="shared" si="392"/>
        <v>755.32750565184631</v>
      </c>
      <c r="N1254" s="12" t="e">
        <f t="shared" si="388"/>
        <v>#REF!</v>
      </c>
      <c r="O1254" s="12" t="e">
        <f t="shared" si="389"/>
        <v>#REF!</v>
      </c>
      <c r="P1254" s="12" t="e">
        <f t="shared" si="390"/>
        <v>#REF!</v>
      </c>
    </row>
    <row r="1255" spans="1:16" ht="37.5" hidden="1" x14ac:dyDescent="0.3">
      <c r="A1255" s="49">
        <v>22</v>
      </c>
      <c r="B1255" s="49">
        <v>64</v>
      </c>
      <c r="C1255" s="38" t="s">
        <v>1744</v>
      </c>
      <c r="D1255" s="61" t="s">
        <v>13</v>
      </c>
      <c r="E1255" s="63" t="s">
        <v>14</v>
      </c>
      <c r="F1255" s="53"/>
      <c r="G1255" s="53">
        <v>5.4029999999999996</v>
      </c>
      <c r="H1255" s="53">
        <v>3.4000000000000002E-2</v>
      </c>
      <c r="I1255" s="12">
        <f t="shared" si="386"/>
        <v>5.4369999999999994</v>
      </c>
      <c r="J1255" s="52">
        <v>4810.6049999999996</v>
      </c>
      <c r="K1255" s="52"/>
      <c r="L1255" s="52">
        <f t="shared" si="391"/>
        <v>4810.6049999999996</v>
      </c>
      <c r="M1255" s="52">
        <f t="shared" si="392"/>
        <v>884.79032554717674</v>
      </c>
      <c r="N1255" s="12" t="e">
        <f t="shared" si="388"/>
        <v>#REF!</v>
      </c>
      <c r="O1255" s="12" t="e">
        <f t="shared" si="389"/>
        <v>#REF!</v>
      </c>
      <c r="P1255" s="12" t="e">
        <f t="shared" si="390"/>
        <v>#REF!</v>
      </c>
    </row>
    <row r="1256" spans="1:16" ht="37.5" hidden="1" x14ac:dyDescent="0.3">
      <c r="A1256" s="49">
        <v>22</v>
      </c>
      <c r="B1256" s="49">
        <v>65</v>
      </c>
      <c r="C1256" s="38" t="s">
        <v>1744</v>
      </c>
      <c r="D1256" s="61" t="s">
        <v>15</v>
      </c>
      <c r="E1256" s="63" t="s">
        <v>16</v>
      </c>
      <c r="F1256" s="53"/>
      <c r="G1256" s="53">
        <v>6.048</v>
      </c>
      <c r="H1256" s="53">
        <v>8.0000000000000002E-3</v>
      </c>
      <c r="I1256" s="12">
        <f t="shared" si="386"/>
        <v>6.056</v>
      </c>
      <c r="J1256" s="52">
        <v>2281.09</v>
      </c>
      <c r="K1256" s="52"/>
      <c r="L1256" s="52">
        <f t="shared" si="391"/>
        <v>2281.09</v>
      </c>
      <c r="M1256" s="52">
        <f t="shared" si="392"/>
        <v>376.66611624834877</v>
      </c>
      <c r="N1256" s="12" t="e">
        <f t="shared" si="388"/>
        <v>#REF!</v>
      </c>
      <c r="O1256" s="12" t="e">
        <f t="shared" si="389"/>
        <v>#REF!</v>
      </c>
      <c r="P1256" s="12" t="e">
        <f t="shared" si="390"/>
        <v>#REF!</v>
      </c>
    </row>
    <row r="1257" spans="1:16" ht="18.75" hidden="1" x14ac:dyDescent="0.3">
      <c r="A1257" s="49">
        <v>22</v>
      </c>
      <c r="B1257" s="49">
        <v>66</v>
      </c>
      <c r="C1257" s="42" t="s">
        <v>1744</v>
      </c>
      <c r="D1257" s="61" t="s">
        <v>17</v>
      </c>
      <c r="E1257" s="63" t="s">
        <v>18</v>
      </c>
      <c r="F1257" s="53"/>
      <c r="G1257" s="53">
        <v>2.496</v>
      </c>
      <c r="H1257" s="53">
        <v>1.0999999999999999E-2</v>
      </c>
      <c r="I1257" s="12">
        <f t="shared" si="386"/>
        <v>2.5070000000000001</v>
      </c>
      <c r="J1257" s="52">
        <v>8759.8359999999993</v>
      </c>
      <c r="K1257" s="52"/>
      <c r="L1257" s="52">
        <f t="shared" si="391"/>
        <v>8759.8359999999993</v>
      </c>
      <c r="M1257" s="52">
        <f t="shared" si="392"/>
        <v>3494.1507778220976</v>
      </c>
      <c r="N1257" s="12" t="e">
        <f t="shared" si="388"/>
        <v>#REF!</v>
      </c>
      <c r="O1257" s="12" t="e">
        <f t="shared" si="389"/>
        <v>#REF!</v>
      </c>
      <c r="P1257" s="12" t="e">
        <f t="shared" si="390"/>
        <v>#REF!</v>
      </c>
    </row>
    <row r="1258" spans="1:16" ht="18.75" hidden="1" x14ac:dyDescent="0.3">
      <c r="A1258" s="49">
        <v>22</v>
      </c>
      <c r="B1258" s="49">
        <v>67</v>
      </c>
      <c r="C1258" s="42" t="s">
        <v>1744</v>
      </c>
      <c r="D1258" s="61" t="s">
        <v>19</v>
      </c>
      <c r="E1258" s="63" t="s">
        <v>20</v>
      </c>
      <c r="F1258" s="53"/>
      <c r="G1258" s="53">
        <v>1.91</v>
      </c>
      <c r="H1258" s="53">
        <v>1E-3</v>
      </c>
      <c r="I1258" s="12">
        <f t="shared" si="386"/>
        <v>1.9109999999999998</v>
      </c>
      <c r="J1258" s="52">
        <v>1538.576</v>
      </c>
      <c r="K1258" s="52"/>
      <c r="L1258" s="52">
        <f t="shared" si="391"/>
        <v>1538.576</v>
      </c>
      <c r="M1258" s="52">
        <f t="shared" si="392"/>
        <v>805.11564625850349</v>
      </c>
      <c r="N1258" s="12" t="e">
        <f t="shared" si="388"/>
        <v>#REF!</v>
      </c>
      <c r="O1258" s="12" t="e">
        <f t="shared" si="389"/>
        <v>#REF!</v>
      </c>
      <c r="P1258" s="12" t="e">
        <f t="shared" si="390"/>
        <v>#REF!</v>
      </c>
    </row>
    <row r="1259" spans="1:16" s="75" customFormat="1" ht="15.75" hidden="1" x14ac:dyDescent="0.25">
      <c r="A1259" s="72">
        <v>23</v>
      </c>
      <c r="B1259" s="72" t="s">
        <v>1126</v>
      </c>
      <c r="C1259" s="73" t="s">
        <v>1161</v>
      </c>
      <c r="D1259" s="74"/>
      <c r="E1259" s="71" t="s">
        <v>1699</v>
      </c>
      <c r="F1259" s="76"/>
      <c r="G1259" s="71">
        <f t="shared" ref="G1259:L1259" si="393">G1260+G1261+G1268+G1289</f>
        <v>1231.2069999999999</v>
      </c>
      <c r="H1259" s="71">
        <f t="shared" si="393"/>
        <v>11.317</v>
      </c>
      <c r="I1259" s="71">
        <f t="shared" si="393"/>
        <v>1242.5239999999999</v>
      </c>
      <c r="J1259" s="71">
        <f t="shared" si="393"/>
        <v>1685257.3649999995</v>
      </c>
      <c r="K1259" s="71">
        <f t="shared" si="393"/>
        <v>-1735.2</v>
      </c>
      <c r="L1259" s="71">
        <f t="shared" si="393"/>
        <v>1683522.1649999998</v>
      </c>
      <c r="M1259" s="71">
        <f>L1259/I1259</f>
        <v>1354.9212449819881</v>
      </c>
      <c r="N1259" s="71" t="e">
        <f>M1259/$M$1429</f>
        <v>#REF!</v>
      </c>
      <c r="O1259" s="71" t="e">
        <f>O1260+O1261+O1268+O1289</f>
        <v>#REF!</v>
      </c>
      <c r="P1259" s="71" t="e">
        <f>P1260+P1261+P1268+P1289</f>
        <v>#REF!</v>
      </c>
    </row>
    <row r="1260" spans="1:16" ht="15.75" hidden="1" x14ac:dyDescent="0.25">
      <c r="A1260" s="14">
        <v>23</v>
      </c>
      <c r="B1260" s="14" t="s">
        <v>1126</v>
      </c>
      <c r="C1260" s="8" t="s">
        <v>1159</v>
      </c>
      <c r="D1260" s="28" t="s">
        <v>2523</v>
      </c>
      <c r="E1260" s="12" t="s">
        <v>1160</v>
      </c>
      <c r="F1260" s="1"/>
      <c r="G1260" s="1">
        <v>0</v>
      </c>
      <c r="H1260" s="1">
        <v>0</v>
      </c>
      <c r="I1260" s="12">
        <f>H1260+G1260</f>
        <v>0</v>
      </c>
      <c r="J1260" s="12"/>
      <c r="K1260" s="12"/>
      <c r="L1260" s="12"/>
      <c r="M1260" s="12"/>
      <c r="N1260" s="12"/>
      <c r="O1260" s="12"/>
      <c r="P1260" s="12"/>
    </row>
    <row r="1261" spans="1:16" ht="15.75" hidden="1" x14ac:dyDescent="0.25">
      <c r="A1261" s="15">
        <v>23</v>
      </c>
      <c r="B1261" s="15" t="s">
        <v>1126</v>
      </c>
      <c r="C1261" s="10" t="s">
        <v>1127</v>
      </c>
      <c r="D1261" s="29"/>
      <c r="E1261" s="37" t="s">
        <v>1128</v>
      </c>
      <c r="F1261" s="6"/>
      <c r="G1261" s="37">
        <f t="shared" ref="G1261:L1261" si="394">SUM(G1262:G1267)</f>
        <v>508.03500000000003</v>
      </c>
      <c r="H1261" s="37">
        <f>SUM(H1262:H1267)</f>
        <v>6.2519999999999998</v>
      </c>
      <c r="I1261" s="37">
        <f t="shared" si="394"/>
        <v>514.28700000000003</v>
      </c>
      <c r="J1261" s="37">
        <f t="shared" si="394"/>
        <v>804688.72699999996</v>
      </c>
      <c r="K1261" s="37">
        <f t="shared" si="394"/>
        <v>-1735.2</v>
      </c>
      <c r="L1261" s="37">
        <f t="shared" si="394"/>
        <v>802953.527</v>
      </c>
      <c r="M1261" s="37">
        <f t="shared" ref="M1261:M1313" si="395">L1261/I1261</f>
        <v>1561.2946214856684</v>
      </c>
      <c r="N1261" s="37" t="e">
        <f>M1261/$M$1429</f>
        <v>#REF!</v>
      </c>
      <c r="O1261" s="37" t="e">
        <f>SUM(O1262:O1267)</f>
        <v>#REF!</v>
      </c>
      <c r="P1261" s="37" t="e">
        <f>SUM(P1262:P1267)</f>
        <v>#REF!</v>
      </c>
    </row>
    <row r="1262" spans="1:16" ht="15.75" hidden="1" x14ac:dyDescent="0.25">
      <c r="A1262" s="14">
        <v>23</v>
      </c>
      <c r="B1262" s="14" t="s">
        <v>1811</v>
      </c>
      <c r="C1262" s="8" t="s">
        <v>1119</v>
      </c>
      <c r="D1262" s="28" t="s">
        <v>2524</v>
      </c>
      <c r="E1262" s="12" t="s">
        <v>1673</v>
      </c>
      <c r="F1262" s="1"/>
      <c r="G1262" s="1">
        <v>282.43900000000002</v>
      </c>
      <c r="H1262" s="1">
        <v>4.0339999999999998</v>
      </c>
      <c r="I1262" s="12">
        <f t="shared" ref="I1262:I1267" si="396">H1262+G1262</f>
        <v>286.47300000000001</v>
      </c>
      <c r="J1262" s="12">
        <v>541908.55099999998</v>
      </c>
      <c r="K1262" s="12"/>
      <c r="L1262" s="12">
        <f t="shared" ref="L1262:L1267" si="397">J1262+K1262</f>
        <v>541908.55099999998</v>
      </c>
      <c r="M1262" s="12">
        <f t="shared" si="395"/>
        <v>1891.6566343075961</v>
      </c>
      <c r="N1262" s="12" t="e">
        <f t="shared" ref="N1262:N1267" si="398">M1262/$M$1431</f>
        <v>#REF!</v>
      </c>
      <c r="O1262" s="12" t="e">
        <f t="shared" ref="O1262:O1267" si="399">ROUND(IF(N1262&lt;110%,0,(M1262-$M$1431*1.1)*0.8)*I1262,1)</f>
        <v>#REF!</v>
      </c>
      <c r="P1262" s="12" t="e">
        <f t="shared" ref="P1262:P1267" si="400">ROUND(IF(N1262&gt;90%,0,(-M1262+$M$1431*0.9)*0.8)*I1262,1)</f>
        <v>#REF!</v>
      </c>
    </row>
    <row r="1263" spans="1:16" ht="15.75" hidden="1" x14ac:dyDescent="0.25">
      <c r="A1263" s="14">
        <v>23</v>
      </c>
      <c r="B1263" s="14" t="s">
        <v>1810</v>
      </c>
      <c r="C1263" s="8" t="s">
        <v>1119</v>
      </c>
      <c r="D1263" s="28" t="s">
        <v>2525</v>
      </c>
      <c r="E1263" s="12" t="s">
        <v>1674</v>
      </c>
      <c r="F1263" s="1"/>
      <c r="G1263" s="1">
        <v>17.303999999999998</v>
      </c>
      <c r="H1263" s="1">
        <v>0.245</v>
      </c>
      <c r="I1263" s="12">
        <f t="shared" si="396"/>
        <v>17.548999999999999</v>
      </c>
      <c r="J1263" s="12">
        <v>10041.519</v>
      </c>
      <c r="K1263" s="12"/>
      <c r="L1263" s="12">
        <f t="shared" si="397"/>
        <v>10041.519</v>
      </c>
      <c r="M1263" s="12">
        <f t="shared" si="395"/>
        <v>572.19892871388686</v>
      </c>
      <c r="N1263" s="12" t="e">
        <f t="shared" si="398"/>
        <v>#REF!</v>
      </c>
      <c r="O1263" s="12" t="e">
        <f t="shared" si="399"/>
        <v>#REF!</v>
      </c>
      <c r="P1263" s="12" t="e">
        <f t="shared" si="400"/>
        <v>#REF!</v>
      </c>
    </row>
    <row r="1264" spans="1:16" ht="15.75" hidden="1" x14ac:dyDescent="0.25">
      <c r="A1264" s="14">
        <v>23</v>
      </c>
      <c r="B1264" s="14" t="s">
        <v>1850</v>
      </c>
      <c r="C1264" s="8" t="s">
        <v>1119</v>
      </c>
      <c r="D1264" s="28" t="s">
        <v>2526</v>
      </c>
      <c r="E1264" s="12" t="s">
        <v>1675</v>
      </c>
      <c r="F1264" s="1"/>
      <c r="G1264" s="1">
        <v>29.227</v>
      </c>
      <c r="H1264" s="1">
        <v>0.42</v>
      </c>
      <c r="I1264" s="12">
        <f t="shared" si="396"/>
        <v>29.647000000000002</v>
      </c>
      <c r="J1264" s="12">
        <v>40504.93</v>
      </c>
      <c r="K1264" s="12"/>
      <c r="L1264" s="12">
        <f t="shared" si="397"/>
        <v>40504.93</v>
      </c>
      <c r="M1264" s="12">
        <f t="shared" si="395"/>
        <v>1366.2404290484703</v>
      </c>
      <c r="N1264" s="12" t="e">
        <f t="shared" si="398"/>
        <v>#REF!</v>
      </c>
      <c r="O1264" s="12" t="e">
        <f t="shared" si="399"/>
        <v>#REF!</v>
      </c>
      <c r="P1264" s="12" t="e">
        <f t="shared" si="400"/>
        <v>#REF!</v>
      </c>
    </row>
    <row r="1265" spans="1:16" ht="15.75" hidden="1" x14ac:dyDescent="0.25">
      <c r="A1265" s="14">
        <v>23</v>
      </c>
      <c r="B1265" s="14" t="s">
        <v>1855</v>
      </c>
      <c r="C1265" s="8" t="s">
        <v>1119</v>
      </c>
      <c r="D1265" s="28" t="s">
        <v>2527</v>
      </c>
      <c r="E1265" s="12" t="s">
        <v>1676</v>
      </c>
      <c r="F1265" s="1"/>
      <c r="G1265" s="1">
        <v>24.78</v>
      </c>
      <c r="H1265" s="1">
        <v>0.309</v>
      </c>
      <c r="I1265" s="12">
        <f t="shared" si="396"/>
        <v>25.089000000000002</v>
      </c>
      <c r="J1265" s="12">
        <v>38144.718000000001</v>
      </c>
      <c r="K1265" s="12"/>
      <c r="L1265" s="12">
        <f t="shared" si="397"/>
        <v>38144.718000000001</v>
      </c>
      <c r="M1265" s="12">
        <f t="shared" si="395"/>
        <v>1520.3761807963649</v>
      </c>
      <c r="N1265" s="12" t="e">
        <f t="shared" si="398"/>
        <v>#REF!</v>
      </c>
      <c r="O1265" s="12" t="e">
        <f t="shared" si="399"/>
        <v>#REF!</v>
      </c>
      <c r="P1265" s="12" t="e">
        <f t="shared" si="400"/>
        <v>#REF!</v>
      </c>
    </row>
    <row r="1266" spans="1:16" ht="15.75" hidden="1" x14ac:dyDescent="0.25">
      <c r="A1266" s="14">
        <v>23</v>
      </c>
      <c r="B1266" s="14" t="s">
        <v>1818</v>
      </c>
      <c r="C1266" s="8" t="s">
        <v>1119</v>
      </c>
      <c r="D1266" s="28" t="s">
        <v>2528</v>
      </c>
      <c r="E1266" s="12" t="s">
        <v>1677</v>
      </c>
      <c r="F1266" s="1"/>
      <c r="G1266" s="1">
        <v>68.811999999999998</v>
      </c>
      <c r="H1266" s="1">
        <v>0.64900000000000002</v>
      </c>
      <c r="I1266" s="12">
        <f t="shared" si="396"/>
        <v>69.460999999999999</v>
      </c>
      <c r="J1266" s="12">
        <v>84163.002999999997</v>
      </c>
      <c r="K1266" s="12">
        <f>-2892*0.6</f>
        <v>-1735.2</v>
      </c>
      <c r="L1266" s="12">
        <f t="shared" si="397"/>
        <v>82427.803</v>
      </c>
      <c r="M1266" s="12">
        <f t="shared" si="395"/>
        <v>1186.6774592937045</v>
      </c>
      <c r="N1266" s="12" t="e">
        <f t="shared" si="398"/>
        <v>#REF!</v>
      </c>
      <c r="O1266" s="12" t="e">
        <f t="shared" si="399"/>
        <v>#REF!</v>
      </c>
      <c r="P1266" s="12" t="e">
        <f t="shared" si="400"/>
        <v>#REF!</v>
      </c>
    </row>
    <row r="1267" spans="1:16" ht="15.75" hidden="1" x14ac:dyDescent="0.25">
      <c r="A1267" s="14">
        <v>23</v>
      </c>
      <c r="B1267" s="14" t="s">
        <v>1820</v>
      </c>
      <c r="C1267" s="8" t="s">
        <v>1119</v>
      </c>
      <c r="D1267" s="28" t="s">
        <v>2529</v>
      </c>
      <c r="E1267" s="12" t="s">
        <v>1678</v>
      </c>
      <c r="F1267" s="1"/>
      <c r="G1267" s="1">
        <v>85.472999999999999</v>
      </c>
      <c r="H1267" s="1">
        <v>0.59499999999999997</v>
      </c>
      <c r="I1267" s="12">
        <f t="shared" si="396"/>
        <v>86.067999999999998</v>
      </c>
      <c r="J1267" s="12">
        <v>89926.005999999994</v>
      </c>
      <c r="K1267" s="12"/>
      <c r="L1267" s="12">
        <f t="shared" si="397"/>
        <v>89926.005999999994</v>
      </c>
      <c r="M1267" s="12">
        <f t="shared" si="395"/>
        <v>1044.8250917878886</v>
      </c>
      <c r="N1267" s="12" t="e">
        <f t="shared" si="398"/>
        <v>#REF!</v>
      </c>
      <c r="O1267" s="12" t="e">
        <f t="shared" si="399"/>
        <v>#REF!</v>
      </c>
      <c r="P1267" s="12" t="e">
        <f t="shared" si="400"/>
        <v>#REF!</v>
      </c>
    </row>
    <row r="1268" spans="1:16" ht="15.75" hidden="1" x14ac:dyDescent="0.25">
      <c r="A1268" s="15">
        <v>23</v>
      </c>
      <c r="B1268" s="15" t="s">
        <v>1126</v>
      </c>
      <c r="C1268" s="10" t="s">
        <v>1157</v>
      </c>
      <c r="D1268" s="29"/>
      <c r="E1268" s="37" t="s">
        <v>1158</v>
      </c>
      <c r="F1268" s="6"/>
      <c r="G1268" s="37">
        <f t="shared" ref="G1268:L1268" si="401">SUM(G1269:G1288)</f>
        <v>562.1049999999999</v>
      </c>
      <c r="H1268" s="37">
        <f>SUM(H1269:H1288)</f>
        <v>3.9250000000000007</v>
      </c>
      <c r="I1268" s="37">
        <f t="shared" si="401"/>
        <v>566.03</v>
      </c>
      <c r="J1268" s="37">
        <f t="shared" si="401"/>
        <v>645307.5059999997</v>
      </c>
      <c r="K1268" s="37">
        <f t="shared" si="401"/>
        <v>0</v>
      </c>
      <c r="L1268" s="37">
        <f t="shared" si="401"/>
        <v>645307.5059999997</v>
      </c>
      <c r="M1268" s="37">
        <f t="shared" si="395"/>
        <v>1140.0588414041654</v>
      </c>
      <c r="N1268" s="37" t="e">
        <f>M1268/$M$1429</f>
        <v>#REF!</v>
      </c>
      <c r="O1268" s="37" t="e">
        <f>SUM(O1269:O1288)</f>
        <v>#REF!</v>
      </c>
      <c r="P1268" s="37" t="e">
        <f>SUM(P1269:P1288)</f>
        <v>#REF!</v>
      </c>
    </row>
    <row r="1269" spans="1:16" ht="15.75" hidden="1" x14ac:dyDescent="0.25">
      <c r="A1269" s="14">
        <v>23</v>
      </c>
      <c r="B1269" s="14" t="s">
        <v>1822</v>
      </c>
      <c r="C1269" s="8" t="s">
        <v>1129</v>
      </c>
      <c r="D1269" s="28" t="s">
        <v>2530</v>
      </c>
      <c r="E1269" s="12" t="s">
        <v>1679</v>
      </c>
      <c r="F1269" s="1"/>
      <c r="G1269" s="1">
        <v>34.494999999999997</v>
      </c>
      <c r="H1269" s="1">
        <v>0.26600000000000001</v>
      </c>
      <c r="I1269" s="12">
        <f t="shared" ref="I1269:I1288" si="402">H1269+G1269</f>
        <v>34.760999999999996</v>
      </c>
      <c r="J1269" s="12">
        <f>33470.934-3287.438</f>
        <v>30183.495999999999</v>
      </c>
      <c r="K1269" s="12"/>
      <c r="L1269" s="12">
        <f t="shared" ref="L1269:L1288" si="403">J1269+K1269</f>
        <v>30183.495999999999</v>
      </c>
      <c r="M1269" s="12">
        <f t="shared" si="395"/>
        <v>868.31495066309958</v>
      </c>
      <c r="N1269" s="12" t="e">
        <f t="shared" ref="N1269:N1288" si="404">M1269/$M$1432</f>
        <v>#REF!</v>
      </c>
      <c r="O1269" s="12" t="e">
        <f t="shared" ref="O1269:O1288" si="405">ROUND(IF(N1269&lt;110%,0,(M1269-$M$1432*1.1)*0.8)*I1269,1)</f>
        <v>#REF!</v>
      </c>
      <c r="P1269" s="12" t="e">
        <f t="shared" ref="P1269:P1288" si="406">ROUND(IF(N1269&gt;90%,0,(-M1269+$M$1432*0.9)*0.8)*I1269,1)</f>
        <v>#REF!</v>
      </c>
    </row>
    <row r="1270" spans="1:16" ht="15.75" hidden="1" x14ac:dyDescent="0.25">
      <c r="A1270" s="14">
        <v>23</v>
      </c>
      <c r="B1270" s="14" t="s">
        <v>1824</v>
      </c>
      <c r="C1270" s="8" t="s">
        <v>1129</v>
      </c>
      <c r="D1270" s="28" t="s">
        <v>2531</v>
      </c>
      <c r="E1270" s="12" t="s">
        <v>1680</v>
      </c>
      <c r="F1270" s="1"/>
      <c r="G1270" s="1">
        <v>33.341000000000001</v>
      </c>
      <c r="H1270" s="1">
        <v>0.17699999999999999</v>
      </c>
      <c r="I1270" s="12">
        <f t="shared" si="402"/>
        <v>33.518000000000001</v>
      </c>
      <c r="J1270" s="12">
        <f>43003.33-1958.586</f>
        <v>41044.743999999999</v>
      </c>
      <c r="K1270" s="12"/>
      <c r="L1270" s="12">
        <f t="shared" si="403"/>
        <v>41044.743999999999</v>
      </c>
      <c r="M1270" s="12">
        <f t="shared" si="395"/>
        <v>1224.5582671997136</v>
      </c>
      <c r="N1270" s="12" t="e">
        <f t="shared" si="404"/>
        <v>#REF!</v>
      </c>
      <c r="O1270" s="12" t="e">
        <f t="shared" si="405"/>
        <v>#REF!</v>
      </c>
      <c r="P1270" s="12" t="e">
        <f t="shared" si="406"/>
        <v>#REF!</v>
      </c>
    </row>
    <row r="1271" spans="1:16" ht="15.75" hidden="1" x14ac:dyDescent="0.25">
      <c r="A1271" s="14">
        <v>23</v>
      </c>
      <c r="B1271" s="14" t="s">
        <v>1826</v>
      </c>
      <c r="C1271" s="8" t="s">
        <v>1129</v>
      </c>
      <c r="D1271" s="28" t="s">
        <v>2532</v>
      </c>
      <c r="E1271" s="12" t="s">
        <v>1681</v>
      </c>
      <c r="F1271" s="1"/>
      <c r="G1271" s="1">
        <v>15.201000000000001</v>
      </c>
      <c r="H1271" s="1">
        <v>6.9000000000000006E-2</v>
      </c>
      <c r="I1271" s="12">
        <f t="shared" si="402"/>
        <v>15.270000000000001</v>
      </c>
      <c r="J1271" s="12">
        <f>50937.422-2112.652-3244.113-26627.236</f>
        <v>18953.420999999998</v>
      </c>
      <c r="K1271" s="12"/>
      <c r="L1271" s="12">
        <f t="shared" si="403"/>
        <v>18953.420999999998</v>
      </c>
      <c r="M1271" s="12">
        <f t="shared" si="395"/>
        <v>1241.219449901768</v>
      </c>
      <c r="N1271" s="12" t="e">
        <f t="shared" si="404"/>
        <v>#REF!</v>
      </c>
      <c r="O1271" s="12" t="e">
        <f t="shared" si="405"/>
        <v>#REF!</v>
      </c>
      <c r="P1271" s="12" t="e">
        <f t="shared" si="406"/>
        <v>#REF!</v>
      </c>
    </row>
    <row r="1272" spans="1:16" ht="15.75" hidden="1" x14ac:dyDescent="0.25">
      <c r="A1272" s="14">
        <v>23</v>
      </c>
      <c r="B1272" s="14">
        <v>10</v>
      </c>
      <c r="C1272" s="8" t="s">
        <v>1129</v>
      </c>
      <c r="D1272" s="28" t="s">
        <v>2533</v>
      </c>
      <c r="E1272" s="12" t="s">
        <v>1682</v>
      </c>
      <c r="F1272" s="1"/>
      <c r="G1272" s="1">
        <v>44.066000000000003</v>
      </c>
      <c r="H1272" s="1">
        <v>0.27500000000000002</v>
      </c>
      <c r="I1272" s="12">
        <f t="shared" si="402"/>
        <v>44.341000000000001</v>
      </c>
      <c r="J1272" s="12">
        <v>44136.158000000003</v>
      </c>
      <c r="K1272" s="12"/>
      <c r="L1272" s="12">
        <f t="shared" si="403"/>
        <v>44136.158000000003</v>
      </c>
      <c r="M1272" s="12">
        <f t="shared" si="395"/>
        <v>995.38030265442819</v>
      </c>
      <c r="N1272" s="12" t="e">
        <f t="shared" si="404"/>
        <v>#REF!</v>
      </c>
      <c r="O1272" s="12" t="e">
        <f t="shared" si="405"/>
        <v>#REF!</v>
      </c>
      <c r="P1272" s="12" t="e">
        <f t="shared" si="406"/>
        <v>#REF!</v>
      </c>
    </row>
    <row r="1273" spans="1:16" ht="15.75" hidden="1" x14ac:dyDescent="0.25">
      <c r="A1273" s="14">
        <v>23</v>
      </c>
      <c r="B1273" s="14">
        <v>11</v>
      </c>
      <c r="C1273" s="8" t="s">
        <v>1129</v>
      </c>
      <c r="D1273" s="28" t="s">
        <v>2534</v>
      </c>
      <c r="E1273" s="12" t="s">
        <v>1683</v>
      </c>
      <c r="F1273" s="1"/>
      <c r="G1273" s="1">
        <v>39.935000000000002</v>
      </c>
      <c r="H1273" s="1">
        <v>0.22800000000000001</v>
      </c>
      <c r="I1273" s="12">
        <f t="shared" si="402"/>
        <v>40.163000000000004</v>
      </c>
      <c r="J1273" s="12">
        <f>58087.21-2842.584</f>
        <v>55244.625999999997</v>
      </c>
      <c r="K1273" s="12"/>
      <c r="L1273" s="12">
        <f t="shared" si="403"/>
        <v>55244.625999999997</v>
      </c>
      <c r="M1273" s="12">
        <f t="shared" si="395"/>
        <v>1375.5104449368821</v>
      </c>
      <c r="N1273" s="12" t="e">
        <f t="shared" si="404"/>
        <v>#REF!</v>
      </c>
      <c r="O1273" s="12" t="e">
        <f t="shared" si="405"/>
        <v>#REF!</v>
      </c>
      <c r="P1273" s="12" t="e">
        <f t="shared" si="406"/>
        <v>#REF!</v>
      </c>
    </row>
    <row r="1274" spans="1:16" ht="15.75" hidden="1" x14ac:dyDescent="0.25">
      <c r="A1274" s="14">
        <v>23</v>
      </c>
      <c r="B1274" s="14">
        <v>12</v>
      </c>
      <c r="C1274" s="8" t="s">
        <v>1129</v>
      </c>
      <c r="D1274" s="28" t="s">
        <v>2535</v>
      </c>
      <c r="E1274" s="12" t="s">
        <v>1684</v>
      </c>
      <c r="F1274" s="1"/>
      <c r="G1274" s="1">
        <v>10.212</v>
      </c>
      <c r="H1274" s="1">
        <v>7.9000000000000001E-2</v>
      </c>
      <c r="I1274" s="12">
        <f t="shared" si="402"/>
        <v>10.291</v>
      </c>
      <c r="J1274" s="12">
        <f>34979.524-18901.583-4191.812</f>
        <v>11886.128999999999</v>
      </c>
      <c r="K1274" s="12"/>
      <c r="L1274" s="12">
        <f t="shared" si="403"/>
        <v>11886.128999999999</v>
      </c>
      <c r="M1274" s="12">
        <f t="shared" si="395"/>
        <v>1155.0023321348749</v>
      </c>
      <c r="N1274" s="12" t="e">
        <f t="shared" si="404"/>
        <v>#REF!</v>
      </c>
      <c r="O1274" s="12" t="e">
        <f t="shared" si="405"/>
        <v>#REF!</v>
      </c>
      <c r="P1274" s="12" t="e">
        <f t="shared" si="406"/>
        <v>#REF!</v>
      </c>
    </row>
    <row r="1275" spans="1:16" ht="15.75" hidden="1" x14ac:dyDescent="0.25">
      <c r="A1275" s="14">
        <v>23</v>
      </c>
      <c r="B1275" s="14">
        <v>13</v>
      </c>
      <c r="C1275" s="8" t="s">
        <v>1129</v>
      </c>
      <c r="D1275" s="28" t="s">
        <v>2536</v>
      </c>
      <c r="E1275" s="12" t="s">
        <v>1685</v>
      </c>
      <c r="F1275" s="1"/>
      <c r="G1275" s="1">
        <v>10.821</v>
      </c>
      <c r="H1275" s="1">
        <v>0.10299999999999999</v>
      </c>
      <c r="I1275" s="12">
        <f t="shared" si="402"/>
        <v>10.923999999999999</v>
      </c>
      <c r="J1275" s="12">
        <f>56277.679-3245.516-38498.4</f>
        <v>14533.762999999992</v>
      </c>
      <c r="K1275" s="12"/>
      <c r="L1275" s="12">
        <f t="shared" si="403"/>
        <v>14533.762999999992</v>
      </c>
      <c r="M1275" s="12">
        <f t="shared" si="395"/>
        <v>1330.4433357744408</v>
      </c>
      <c r="N1275" s="12" t="e">
        <f t="shared" si="404"/>
        <v>#REF!</v>
      </c>
      <c r="O1275" s="12" t="e">
        <f t="shared" si="405"/>
        <v>#REF!</v>
      </c>
      <c r="P1275" s="12" t="e">
        <f t="shared" si="406"/>
        <v>#REF!</v>
      </c>
    </row>
    <row r="1276" spans="1:16" ht="15.75" hidden="1" x14ac:dyDescent="0.25">
      <c r="A1276" s="14">
        <v>23</v>
      </c>
      <c r="B1276" s="14">
        <v>14</v>
      </c>
      <c r="C1276" s="8" t="s">
        <v>1129</v>
      </c>
      <c r="D1276" s="28" t="s">
        <v>2537</v>
      </c>
      <c r="E1276" s="12" t="s">
        <v>1686</v>
      </c>
      <c r="F1276" s="1"/>
      <c r="G1276" s="1">
        <v>14.759</v>
      </c>
      <c r="H1276" s="1">
        <v>9.6000000000000002E-2</v>
      </c>
      <c r="I1276" s="12">
        <f t="shared" si="402"/>
        <v>14.855</v>
      </c>
      <c r="J1276" s="12">
        <v>17206.365000000002</v>
      </c>
      <c r="K1276" s="12"/>
      <c r="L1276" s="12">
        <f t="shared" si="403"/>
        <v>17206.365000000002</v>
      </c>
      <c r="M1276" s="12">
        <f t="shared" si="395"/>
        <v>1158.287781891619</v>
      </c>
      <c r="N1276" s="12" t="e">
        <f t="shared" si="404"/>
        <v>#REF!</v>
      </c>
      <c r="O1276" s="12" t="e">
        <f t="shared" si="405"/>
        <v>#REF!</v>
      </c>
      <c r="P1276" s="12" t="e">
        <f t="shared" si="406"/>
        <v>#REF!</v>
      </c>
    </row>
    <row r="1277" spans="1:16" ht="15.75" hidden="1" x14ac:dyDescent="0.25">
      <c r="A1277" s="14">
        <v>23</v>
      </c>
      <c r="B1277" s="14">
        <v>15</v>
      </c>
      <c r="C1277" s="8" t="s">
        <v>1129</v>
      </c>
      <c r="D1277" s="28" t="s">
        <v>2538</v>
      </c>
      <c r="E1277" s="12" t="s">
        <v>1687</v>
      </c>
      <c r="F1277" s="1"/>
      <c r="G1277" s="1">
        <v>20.68</v>
      </c>
      <c r="H1277" s="1">
        <v>0.14499999999999999</v>
      </c>
      <c r="I1277" s="12">
        <f t="shared" si="402"/>
        <v>20.824999999999999</v>
      </c>
      <c r="J1277" s="12">
        <f>51426.656-2810.594-8880.527-7522.036-3318.989-2848.643</f>
        <v>26045.867000000002</v>
      </c>
      <c r="K1277" s="12"/>
      <c r="L1277" s="12">
        <f t="shared" si="403"/>
        <v>26045.867000000002</v>
      </c>
      <c r="M1277" s="12">
        <f t="shared" si="395"/>
        <v>1250.7018967587037</v>
      </c>
      <c r="N1277" s="12" t="e">
        <f t="shared" si="404"/>
        <v>#REF!</v>
      </c>
      <c r="O1277" s="12" t="e">
        <f t="shared" si="405"/>
        <v>#REF!</v>
      </c>
      <c r="P1277" s="12" t="e">
        <f t="shared" si="406"/>
        <v>#REF!</v>
      </c>
    </row>
    <row r="1278" spans="1:16" ht="15.75" hidden="1" x14ac:dyDescent="0.25">
      <c r="A1278" s="14">
        <v>23</v>
      </c>
      <c r="B1278" s="14">
        <v>16</v>
      </c>
      <c r="C1278" s="8" t="s">
        <v>1129</v>
      </c>
      <c r="D1278" s="28" t="s">
        <v>2539</v>
      </c>
      <c r="E1278" s="12" t="s">
        <v>1688</v>
      </c>
      <c r="F1278" s="1"/>
      <c r="G1278" s="1">
        <v>23.398</v>
      </c>
      <c r="H1278" s="1">
        <v>0.23100000000000001</v>
      </c>
      <c r="I1278" s="12">
        <f t="shared" si="402"/>
        <v>23.629000000000001</v>
      </c>
      <c r="J1278" s="12">
        <v>28631.16</v>
      </c>
      <c r="K1278" s="12"/>
      <c r="L1278" s="12">
        <f t="shared" si="403"/>
        <v>28631.16</v>
      </c>
      <c r="M1278" s="12">
        <f t="shared" si="395"/>
        <v>1211.6957975369248</v>
      </c>
      <c r="N1278" s="12" t="e">
        <f t="shared" si="404"/>
        <v>#REF!</v>
      </c>
      <c r="O1278" s="12" t="e">
        <f t="shared" si="405"/>
        <v>#REF!</v>
      </c>
      <c r="P1278" s="12" t="e">
        <f t="shared" si="406"/>
        <v>#REF!</v>
      </c>
    </row>
    <row r="1279" spans="1:16" ht="15.75" hidden="1" x14ac:dyDescent="0.25">
      <c r="A1279" s="14">
        <v>23</v>
      </c>
      <c r="B1279" s="14">
        <v>17</v>
      </c>
      <c r="C1279" s="8" t="s">
        <v>1129</v>
      </c>
      <c r="D1279" s="28" t="s">
        <v>2540</v>
      </c>
      <c r="E1279" s="12" t="s">
        <v>1689</v>
      </c>
      <c r="F1279" s="1"/>
      <c r="G1279" s="1">
        <v>20.853000000000002</v>
      </c>
      <c r="H1279" s="1">
        <v>0.13300000000000001</v>
      </c>
      <c r="I1279" s="12">
        <f t="shared" si="402"/>
        <v>20.986000000000001</v>
      </c>
      <c r="J1279" s="12">
        <f>34656.762-4041.141-2905.131</f>
        <v>27710.49</v>
      </c>
      <c r="K1279" s="12"/>
      <c r="L1279" s="12">
        <f t="shared" si="403"/>
        <v>27710.49</v>
      </c>
      <c r="M1279" s="12">
        <f t="shared" si="395"/>
        <v>1320.4274278090156</v>
      </c>
      <c r="N1279" s="12" t="e">
        <f t="shared" si="404"/>
        <v>#REF!</v>
      </c>
      <c r="O1279" s="12" t="e">
        <f t="shared" si="405"/>
        <v>#REF!</v>
      </c>
      <c r="P1279" s="12" t="e">
        <f t="shared" si="406"/>
        <v>#REF!</v>
      </c>
    </row>
    <row r="1280" spans="1:16" ht="15.75" hidden="1" x14ac:dyDescent="0.25">
      <c r="A1280" s="14">
        <v>23</v>
      </c>
      <c r="B1280" s="14">
        <v>18</v>
      </c>
      <c r="C1280" s="8" t="s">
        <v>1129</v>
      </c>
      <c r="D1280" s="28" t="s">
        <v>2541</v>
      </c>
      <c r="E1280" s="12" t="s">
        <v>1690</v>
      </c>
      <c r="F1280" s="1"/>
      <c r="G1280" s="1">
        <v>35.960999999999999</v>
      </c>
      <c r="H1280" s="1">
        <v>0.24199999999999999</v>
      </c>
      <c r="I1280" s="12">
        <f t="shared" si="402"/>
        <v>36.202999999999996</v>
      </c>
      <c r="J1280" s="12">
        <v>33893.627</v>
      </c>
      <c r="K1280" s="12"/>
      <c r="L1280" s="12">
        <f t="shared" si="403"/>
        <v>33893.627</v>
      </c>
      <c r="M1280" s="12">
        <f t="shared" si="395"/>
        <v>936.21045217247206</v>
      </c>
      <c r="N1280" s="12" t="e">
        <f t="shared" si="404"/>
        <v>#REF!</v>
      </c>
      <c r="O1280" s="12" t="e">
        <f t="shared" si="405"/>
        <v>#REF!</v>
      </c>
      <c r="P1280" s="12" t="e">
        <f t="shared" si="406"/>
        <v>#REF!</v>
      </c>
    </row>
    <row r="1281" spans="1:16" ht="15.75" hidden="1" x14ac:dyDescent="0.25">
      <c r="A1281" s="14">
        <v>23</v>
      </c>
      <c r="B1281" s="14">
        <v>19</v>
      </c>
      <c r="C1281" s="8" t="s">
        <v>1129</v>
      </c>
      <c r="D1281" s="28" t="s">
        <v>2542</v>
      </c>
      <c r="E1281" s="12" t="s">
        <v>1691</v>
      </c>
      <c r="F1281" s="1"/>
      <c r="G1281" s="1">
        <v>27.853000000000002</v>
      </c>
      <c r="H1281" s="1">
        <v>0.13800000000000001</v>
      </c>
      <c r="I1281" s="12">
        <f t="shared" si="402"/>
        <v>27.991000000000003</v>
      </c>
      <c r="J1281" s="12">
        <f>27640.432-2921.564</f>
        <v>24718.868000000002</v>
      </c>
      <c r="K1281" s="12"/>
      <c r="L1281" s="12">
        <f t="shared" si="403"/>
        <v>24718.868000000002</v>
      </c>
      <c r="M1281" s="12">
        <f t="shared" si="395"/>
        <v>883.10056803972702</v>
      </c>
      <c r="N1281" s="12" t="e">
        <f t="shared" si="404"/>
        <v>#REF!</v>
      </c>
      <c r="O1281" s="12" t="e">
        <f t="shared" si="405"/>
        <v>#REF!</v>
      </c>
      <c r="P1281" s="12" t="e">
        <f t="shared" si="406"/>
        <v>#REF!</v>
      </c>
    </row>
    <row r="1282" spans="1:16" ht="15.75" hidden="1" x14ac:dyDescent="0.25">
      <c r="A1282" s="14">
        <v>23</v>
      </c>
      <c r="B1282" s="14">
        <v>20</v>
      </c>
      <c r="C1282" s="8" t="s">
        <v>1129</v>
      </c>
      <c r="D1282" s="28" t="s">
        <v>2543</v>
      </c>
      <c r="E1282" s="12" t="s">
        <v>1692</v>
      </c>
      <c r="F1282" s="1"/>
      <c r="G1282" s="1">
        <v>17.811</v>
      </c>
      <c r="H1282" s="1">
        <v>0.109</v>
      </c>
      <c r="I1282" s="12">
        <f t="shared" si="402"/>
        <v>17.920000000000002</v>
      </c>
      <c r="J1282" s="12">
        <f>41174.9729999999-20081.515</f>
        <v>21093.457999999904</v>
      </c>
      <c r="K1282" s="12"/>
      <c r="L1282" s="12">
        <f t="shared" si="403"/>
        <v>21093.457999999904</v>
      </c>
      <c r="M1282" s="12">
        <f t="shared" si="395"/>
        <v>1177.090290178566</v>
      </c>
      <c r="N1282" s="12" t="e">
        <f t="shared" si="404"/>
        <v>#REF!</v>
      </c>
      <c r="O1282" s="12" t="e">
        <f t="shared" si="405"/>
        <v>#REF!</v>
      </c>
      <c r="P1282" s="12" t="e">
        <f t="shared" si="406"/>
        <v>#REF!</v>
      </c>
    </row>
    <row r="1283" spans="1:16" ht="15.75" hidden="1" x14ac:dyDescent="0.25">
      <c r="A1283" s="14">
        <v>23</v>
      </c>
      <c r="B1283" s="14">
        <v>21</v>
      </c>
      <c r="C1283" s="8" t="s">
        <v>1129</v>
      </c>
      <c r="D1283" s="28" t="s">
        <v>2544</v>
      </c>
      <c r="E1283" s="12" t="s">
        <v>1693</v>
      </c>
      <c r="F1283" s="1"/>
      <c r="G1283" s="1">
        <v>35.451999999999998</v>
      </c>
      <c r="H1283" s="1">
        <v>0.26200000000000001</v>
      </c>
      <c r="I1283" s="12">
        <f t="shared" si="402"/>
        <v>35.713999999999999</v>
      </c>
      <c r="J1283" s="12">
        <f>61056.692-17274.657</f>
        <v>43782.035000000003</v>
      </c>
      <c r="K1283" s="12"/>
      <c r="L1283" s="12">
        <f t="shared" si="403"/>
        <v>43782.035000000003</v>
      </c>
      <c r="M1283" s="12">
        <f t="shared" si="395"/>
        <v>1225.9067872542983</v>
      </c>
      <c r="N1283" s="12" t="e">
        <f t="shared" si="404"/>
        <v>#REF!</v>
      </c>
      <c r="O1283" s="12" t="e">
        <f t="shared" si="405"/>
        <v>#REF!</v>
      </c>
      <c r="P1283" s="12" t="e">
        <f t="shared" si="406"/>
        <v>#REF!</v>
      </c>
    </row>
    <row r="1284" spans="1:16" ht="15.75" hidden="1" x14ac:dyDescent="0.25">
      <c r="A1284" s="14">
        <v>23</v>
      </c>
      <c r="B1284" s="14">
        <v>22</v>
      </c>
      <c r="C1284" s="8" t="s">
        <v>1129</v>
      </c>
      <c r="D1284" s="28" t="s">
        <v>2545</v>
      </c>
      <c r="E1284" s="12" t="s">
        <v>1694</v>
      </c>
      <c r="F1284" s="1"/>
      <c r="G1284" s="1">
        <v>34.859000000000002</v>
      </c>
      <c r="H1284" s="1">
        <v>0.16600000000000001</v>
      </c>
      <c r="I1284" s="12">
        <f t="shared" si="402"/>
        <v>35.024999999999999</v>
      </c>
      <c r="J1284" s="12">
        <v>45300.817000000003</v>
      </c>
      <c r="K1284" s="12"/>
      <c r="L1284" s="12">
        <f t="shared" si="403"/>
        <v>45300.817000000003</v>
      </c>
      <c r="M1284" s="12">
        <f t="shared" si="395"/>
        <v>1293.385210563883</v>
      </c>
      <c r="N1284" s="12" t="e">
        <f t="shared" si="404"/>
        <v>#REF!</v>
      </c>
      <c r="O1284" s="12" t="e">
        <f t="shared" si="405"/>
        <v>#REF!</v>
      </c>
      <c r="P1284" s="12" t="e">
        <f t="shared" si="406"/>
        <v>#REF!</v>
      </c>
    </row>
    <row r="1285" spans="1:16" ht="15.75" hidden="1" x14ac:dyDescent="0.25">
      <c r="A1285" s="14">
        <v>23</v>
      </c>
      <c r="B1285" s="14">
        <v>23</v>
      </c>
      <c r="C1285" s="8" t="s">
        <v>1129</v>
      </c>
      <c r="D1285" s="28" t="s">
        <v>2546</v>
      </c>
      <c r="E1285" s="12" t="s">
        <v>1695</v>
      </c>
      <c r="F1285" s="1"/>
      <c r="G1285" s="1">
        <v>60.250999999999998</v>
      </c>
      <c r="H1285" s="1">
        <v>0.50600000000000001</v>
      </c>
      <c r="I1285" s="12">
        <f t="shared" si="402"/>
        <v>60.756999999999998</v>
      </c>
      <c r="J1285" s="12">
        <f>60595.596-7953.988</f>
        <v>52641.608</v>
      </c>
      <c r="K1285" s="12"/>
      <c r="L1285" s="12">
        <f t="shared" si="403"/>
        <v>52641.608</v>
      </c>
      <c r="M1285" s="12">
        <f t="shared" si="395"/>
        <v>866.42869134420732</v>
      </c>
      <c r="N1285" s="12" t="e">
        <f t="shared" si="404"/>
        <v>#REF!</v>
      </c>
      <c r="O1285" s="12" t="e">
        <f t="shared" si="405"/>
        <v>#REF!</v>
      </c>
      <c r="P1285" s="12" t="e">
        <f t="shared" si="406"/>
        <v>#REF!</v>
      </c>
    </row>
    <row r="1286" spans="1:16" ht="15.75" hidden="1" x14ac:dyDescent="0.25">
      <c r="A1286" s="14">
        <v>23</v>
      </c>
      <c r="B1286" s="14">
        <v>24</v>
      </c>
      <c r="C1286" s="8" t="s">
        <v>1129</v>
      </c>
      <c r="D1286" s="28" t="s">
        <v>2547</v>
      </c>
      <c r="E1286" s="12" t="s">
        <v>1696</v>
      </c>
      <c r="F1286" s="1"/>
      <c r="G1286" s="1">
        <v>26.457999999999998</v>
      </c>
      <c r="H1286" s="1">
        <v>0.30199999999999999</v>
      </c>
      <c r="I1286" s="12">
        <f t="shared" si="402"/>
        <v>26.759999999999998</v>
      </c>
      <c r="J1286" s="12">
        <v>29781.891</v>
      </c>
      <c r="K1286" s="12"/>
      <c r="L1286" s="12">
        <f t="shared" si="403"/>
        <v>29781.891</v>
      </c>
      <c r="M1286" s="12">
        <f t="shared" si="395"/>
        <v>1112.92567264574</v>
      </c>
      <c r="N1286" s="12" t="e">
        <f t="shared" si="404"/>
        <v>#REF!</v>
      </c>
      <c r="O1286" s="12" t="e">
        <f t="shared" si="405"/>
        <v>#REF!</v>
      </c>
      <c r="P1286" s="12" t="e">
        <f t="shared" si="406"/>
        <v>#REF!</v>
      </c>
    </row>
    <row r="1287" spans="1:16" ht="15.75" hidden="1" x14ac:dyDescent="0.25">
      <c r="A1287" s="14">
        <v>23</v>
      </c>
      <c r="B1287" s="14">
        <v>25</v>
      </c>
      <c r="C1287" s="8" t="s">
        <v>1129</v>
      </c>
      <c r="D1287" s="28" t="s">
        <v>2548</v>
      </c>
      <c r="E1287" s="12" t="s">
        <v>1697</v>
      </c>
      <c r="F1287" s="1"/>
      <c r="G1287" s="1">
        <v>35.28</v>
      </c>
      <c r="H1287" s="1">
        <v>0.25900000000000001</v>
      </c>
      <c r="I1287" s="12">
        <f t="shared" si="402"/>
        <v>35.539000000000001</v>
      </c>
      <c r="J1287" s="12">
        <f>59954.793-4551.592</f>
        <v>55403.201000000001</v>
      </c>
      <c r="K1287" s="12"/>
      <c r="L1287" s="12">
        <f t="shared" si="403"/>
        <v>55403.201000000001</v>
      </c>
      <c r="M1287" s="12">
        <f t="shared" si="395"/>
        <v>1558.9409099862123</v>
      </c>
      <c r="N1287" s="12" t="e">
        <f t="shared" si="404"/>
        <v>#REF!</v>
      </c>
      <c r="O1287" s="12" t="e">
        <f t="shared" si="405"/>
        <v>#REF!</v>
      </c>
      <c r="P1287" s="12" t="e">
        <f t="shared" si="406"/>
        <v>#REF!</v>
      </c>
    </row>
    <row r="1288" spans="1:16" ht="15.75" hidden="1" x14ac:dyDescent="0.25">
      <c r="A1288" s="14">
        <v>23</v>
      </c>
      <c r="B1288" s="14">
        <v>26</v>
      </c>
      <c r="C1288" s="8" t="s">
        <v>1129</v>
      </c>
      <c r="D1288" s="28" t="s">
        <v>2549</v>
      </c>
      <c r="E1288" s="12" t="s">
        <v>1698</v>
      </c>
      <c r="F1288" s="1"/>
      <c r="G1288" s="1">
        <v>20.419</v>
      </c>
      <c r="H1288" s="1">
        <v>0.13900000000000001</v>
      </c>
      <c r="I1288" s="12">
        <f t="shared" si="402"/>
        <v>20.558</v>
      </c>
      <c r="J1288" s="12">
        <f>43645.288-17490.359-3039.147</f>
        <v>23115.781999999999</v>
      </c>
      <c r="K1288" s="12"/>
      <c r="L1288" s="12">
        <f t="shared" si="403"/>
        <v>23115.781999999999</v>
      </c>
      <c r="M1288" s="12">
        <f t="shared" si="395"/>
        <v>1124.4178422025489</v>
      </c>
      <c r="N1288" s="12" t="e">
        <f t="shared" si="404"/>
        <v>#REF!</v>
      </c>
      <c r="O1288" s="12" t="e">
        <f t="shared" si="405"/>
        <v>#REF!</v>
      </c>
      <c r="P1288" s="12" t="e">
        <f t="shared" si="406"/>
        <v>#REF!</v>
      </c>
    </row>
    <row r="1289" spans="1:16" ht="15.75" hidden="1" x14ac:dyDescent="0.25">
      <c r="A1289" s="15">
        <v>23</v>
      </c>
      <c r="B1289" s="15" t="s">
        <v>1126</v>
      </c>
      <c r="C1289" s="10" t="s">
        <v>1743</v>
      </c>
      <c r="D1289" s="29"/>
      <c r="E1289" s="37" t="s">
        <v>1747</v>
      </c>
      <c r="F1289" s="6"/>
      <c r="G1289" s="37">
        <f t="shared" ref="G1289:L1289" si="407">SUM(G1290:G1315)</f>
        <v>161.06700000000001</v>
      </c>
      <c r="H1289" s="37">
        <f>SUM(H1290:H1315)</f>
        <v>1.1400000000000003</v>
      </c>
      <c r="I1289" s="37">
        <f t="shared" si="407"/>
        <v>162.20699999999999</v>
      </c>
      <c r="J1289" s="37">
        <f t="shared" si="407"/>
        <v>235261.13200000007</v>
      </c>
      <c r="K1289" s="37">
        <f t="shared" si="407"/>
        <v>0</v>
      </c>
      <c r="L1289" s="37">
        <f t="shared" si="407"/>
        <v>235261.13200000007</v>
      </c>
      <c r="M1289" s="37">
        <f t="shared" si="395"/>
        <v>1450.3759517160177</v>
      </c>
      <c r="N1289" s="37" t="e">
        <f>M1289/$M$1429</f>
        <v>#REF!</v>
      </c>
      <c r="O1289" s="37" t="e">
        <f>SUM(O1290:O1315)</f>
        <v>#REF!</v>
      </c>
      <c r="P1289" s="37" t="e">
        <f>SUM(P1290:P1315)</f>
        <v>#REF!</v>
      </c>
    </row>
    <row r="1290" spans="1:16" ht="15.75" hidden="1" x14ac:dyDescent="0.25">
      <c r="A1290" s="14">
        <v>23</v>
      </c>
      <c r="B1290" s="14">
        <v>27</v>
      </c>
      <c r="C1290" s="8" t="s">
        <v>1744</v>
      </c>
      <c r="D1290" s="28" t="s">
        <v>2550</v>
      </c>
      <c r="E1290" s="12" t="s">
        <v>1802</v>
      </c>
      <c r="F1290" s="1"/>
      <c r="G1290" s="1">
        <v>8.9390000000000001</v>
      </c>
      <c r="H1290" s="1">
        <v>6.2E-2</v>
      </c>
      <c r="I1290" s="12">
        <f t="shared" ref="I1290:I1315" si="408">H1290+G1290</f>
        <v>9.0009999999999994</v>
      </c>
      <c r="J1290" s="12">
        <v>6865.1580000000004</v>
      </c>
      <c r="K1290" s="12"/>
      <c r="L1290" s="12">
        <f t="shared" ref="L1290:L1313" si="409">J1290+K1290</f>
        <v>6865.1580000000004</v>
      </c>
      <c r="M1290" s="12">
        <f t="shared" si="395"/>
        <v>762.71058771247647</v>
      </c>
      <c r="N1290" s="12" t="e">
        <f t="shared" ref="N1290:N1315" si="410">M1290/$M$1433</f>
        <v>#REF!</v>
      </c>
      <c r="O1290" s="12" t="e">
        <f t="shared" ref="O1290:O1315" si="411">ROUND(IF(N1290&lt;110%,0,(M1290-$M$1433*1.1)*0.8)*I1290,1)</f>
        <v>#REF!</v>
      </c>
      <c r="P1290" s="12" t="e">
        <f t="shared" ref="P1290:P1315" si="412">ROUND(IF(N1290&gt;90%,0,(-M1290+$M$1433*0.9)*0.8)*I1290,1)</f>
        <v>#REF!</v>
      </c>
    </row>
    <row r="1291" spans="1:16" ht="15.75" hidden="1" x14ac:dyDescent="0.25">
      <c r="A1291" s="14">
        <v>23</v>
      </c>
      <c r="B1291" s="14">
        <v>28</v>
      </c>
      <c r="C1291" s="8" t="s">
        <v>1744</v>
      </c>
      <c r="D1291" s="28" t="s">
        <v>2551</v>
      </c>
      <c r="E1291" s="12" t="s">
        <v>1803</v>
      </c>
      <c r="F1291" s="1"/>
      <c r="G1291" s="1">
        <v>5.0069999999999997</v>
      </c>
      <c r="H1291" s="1">
        <v>7.8E-2</v>
      </c>
      <c r="I1291" s="12">
        <f t="shared" si="408"/>
        <v>5.085</v>
      </c>
      <c r="J1291" s="12">
        <v>13262.375</v>
      </c>
      <c r="K1291" s="12"/>
      <c r="L1291" s="12">
        <f t="shared" si="409"/>
        <v>13262.375</v>
      </c>
      <c r="M1291" s="12">
        <f t="shared" si="395"/>
        <v>2608.1366764995082</v>
      </c>
      <c r="N1291" s="12" t="e">
        <f t="shared" si="410"/>
        <v>#REF!</v>
      </c>
      <c r="O1291" s="12" t="e">
        <f t="shared" si="411"/>
        <v>#REF!</v>
      </c>
      <c r="P1291" s="12" t="e">
        <f t="shared" si="412"/>
        <v>#REF!</v>
      </c>
    </row>
    <row r="1292" spans="1:16" ht="15.75" hidden="1" x14ac:dyDescent="0.25">
      <c r="A1292" s="14">
        <v>23</v>
      </c>
      <c r="B1292" s="14">
        <v>29</v>
      </c>
      <c r="C1292" s="8" t="s">
        <v>1744</v>
      </c>
      <c r="D1292" s="28" t="s">
        <v>2552</v>
      </c>
      <c r="E1292" s="12" t="s">
        <v>1804</v>
      </c>
      <c r="F1292" s="1"/>
      <c r="G1292" s="1">
        <v>4.2190000000000003</v>
      </c>
      <c r="H1292" s="1">
        <v>7.0000000000000001E-3</v>
      </c>
      <c r="I1292" s="12">
        <f t="shared" si="408"/>
        <v>4.226</v>
      </c>
      <c r="J1292" s="12">
        <v>4583.7960000000003</v>
      </c>
      <c r="K1292" s="12"/>
      <c r="L1292" s="12">
        <f t="shared" si="409"/>
        <v>4583.7960000000003</v>
      </c>
      <c r="M1292" s="12">
        <f t="shared" si="395"/>
        <v>1084.6654046379556</v>
      </c>
      <c r="N1292" s="12" t="e">
        <f t="shared" si="410"/>
        <v>#REF!</v>
      </c>
      <c r="O1292" s="12" t="e">
        <f t="shared" si="411"/>
        <v>#REF!</v>
      </c>
      <c r="P1292" s="12" t="e">
        <f t="shared" si="412"/>
        <v>#REF!</v>
      </c>
    </row>
    <row r="1293" spans="1:16" ht="15.75" hidden="1" x14ac:dyDescent="0.25">
      <c r="A1293" s="14">
        <v>23</v>
      </c>
      <c r="B1293" s="14">
        <v>30</v>
      </c>
      <c r="C1293" s="8" t="s">
        <v>1744</v>
      </c>
      <c r="D1293" s="28" t="s">
        <v>466</v>
      </c>
      <c r="E1293" s="12" t="s">
        <v>467</v>
      </c>
      <c r="F1293" s="1"/>
      <c r="G1293" s="1">
        <v>15.864000000000001</v>
      </c>
      <c r="H1293" s="1">
        <v>7.1999999999999995E-2</v>
      </c>
      <c r="I1293" s="12">
        <f t="shared" si="408"/>
        <v>15.936</v>
      </c>
      <c r="J1293" s="12">
        <v>20081.514999999999</v>
      </c>
      <c r="K1293" s="12"/>
      <c r="L1293" s="12">
        <f t="shared" si="409"/>
        <v>20081.514999999999</v>
      </c>
      <c r="M1293" s="12">
        <f t="shared" si="395"/>
        <v>1260.1352284136547</v>
      </c>
      <c r="N1293" s="12" t="e">
        <f t="shared" si="410"/>
        <v>#REF!</v>
      </c>
      <c r="O1293" s="12" t="e">
        <f t="shared" si="411"/>
        <v>#REF!</v>
      </c>
      <c r="P1293" s="12" t="e">
        <f t="shared" si="412"/>
        <v>#REF!</v>
      </c>
    </row>
    <row r="1294" spans="1:16" ht="15.75" hidden="1" x14ac:dyDescent="0.25">
      <c r="A1294" s="14">
        <v>23</v>
      </c>
      <c r="B1294" s="14">
        <v>31</v>
      </c>
      <c r="C1294" s="8" t="s">
        <v>1744</v>
      </c>
      <c r="D1294" s="28" t="s">
        <v>468</v>
      </c>
      <c r="E1294" s="12" t="s">
        <v>469</v>
      </c>
      <c r="F1294" s="1"/>
      <c r="G1294" s="1">
        <v>6.8869999999999996</v>
      </c>
      <c r="H1294" s="1">
        <v>6.3E-2</v>
      </c>
      <c r="I1294" s="12">
        <f t="shared" si="408"/>
        <v>6.9499999999999993</v>
      </c>
      <c r="J1294" s="12">
        <v>8880.527</v>
      </c>
      <c r="K1294" s="12"/>
      <c r="L1294" s="12">
        <f t="shared" si="409"/>
        <v>8880.527</v>
      </c>
      <c r="M1294" s="12">
        <f t="shared" si="395"/>
        <v>1277.7736690647484</v>
      </c>
      <c r="N1294" s="12" t="e">
        <f t="shared" si="410"/>
        <v>#REF!</v>
      </c>
      <c r="O1294" s="12" t="e">
        <f t="shared" si="411"/>
        <v>#REF!</v>
      </c>
      <c r="P1294" s="12" t="e">
        <f t="shared" si="412"/>
        <v>#REF!</v>
      </c>
    </row>
    <row r="1295" spans="1:16" ht="15.75" hidden="1" x14ac:dyDescent="0.25">
      <c r="A1295" s="14">
        <v>23</v>
      </c>
      <c r="B1295" s="14">
        <v>32</v>
      </c>
      <c r="C1295" s="8" t="s">
        <v>1744</v>
      </c>
      <c r="D1295" s="28" t="s">
        <v>470</v>
      </c>
      <c r="E1295" s="12" t="s">
        <v>471</v>
      </c>
      <c r="F1295" s="1"/>
      <c r="G1295" s="1">
        <v>6.7210000000000001</v>
      </c>
      <c r="H1295" s="1">
        <v>6.6000000000000003E-2</v>
      </c>
      <c r="I1295" s="12">
        <f t="shared" si="408"/>
        <v>6.7869999999999999</v>
      </c>
      <c r="J1295" s="12">
        <v>7522.0360000000001</v>
      </c>
      <c r="K1295" s="12"/>
      <c r="L1295" s="12">
        <f t="shared" si="409"/>
        <v>7522.0360000000001</v>
      </c>
      <c r="M1295" s="12">
        <f t="shared" si="395"/>
        <v>1108.3005746279653</v>
      </c>
      <c r="N1295" s="12" t="e">
        <f t="shared" si="410"/>
        <v>#REF!</v>
      </c>
      <c r="O1295" s="12" t="e">
        <f t="shared" si="411"/>
        <v>#REF!</v>
      </c>
      <c r="P1295" s="12" t="e">
        <f t="shared" si="412"/>
        <v>#REF!</v>
      </c>
    </row>
    <row r="1296" spans="1:16" ht="15.75" hidden="1" x14ac:dyDescent="0.25">
      <c r="A1296" s="14">
        <v>23</v>
      </c>
      <c r="B1296" s="14">
        <v>35</v>
      </c>
      <c r="C1296" s="8" t="s">
        <v>1744</v>
      </c>
      <c r="D1296" s="28" t="s">
        <v>564</v>
      </c>
      <c r="E1296" s="38" t="s">
        <v>567</v>
      </c>
      <c r="F1296" s="39"/>
      <c r="G1296" s="39">
        <v>2.3260000000000001</v>
      </c>
      <c r="H1296" s="39">
        <v>2.3E-2</v>
      </c>
      <c r="I1296" s="12">
        <f t="shared" si="408"/>
        <v>2.3490000000000002</v>
      </c>
      <c r="J1296" s="38">
        <v>2810.5940000000001</v>
      </c>
      <c r="K1296" s="38"/>
      <c r="L1296" s="38">
        <f t="shared" si="409"/>
        <v>2810.5940000000001</v>
      </c>
      <c r="M1296" s="38">
        <f t="shared" si="395"/>
        <v>1196.5065985525755</v>
      </c>
      <c r="N1296" s="12" t="e">
        <f t="shared" si="410"/>
        <v>#REF!</v>
      </c>
      <c r="O1296" s="12" t="e">
        <f t="shared" si="411"/>
        <v>#REF!</v>
      </c>
      <c r="P1296" s="12" t="e">
        <f t="shared" si="412"/>
        <v>#REF!</v>
      </c>
    </row>
    <row r="1297" spans="1:16" ht="15.75" hidden="1" x14ac:dyDescent="0.25">
      <c r="A1297" s="14">
        <v>23</v>
      </c>
      <c r="B1297" s="14">
        <v>36</v>
      </c>
      <c r="C1297" s="8" t="s">
        <v>1744</v>
      </c>
      <c r="D1297" s="28" t="s">
        <v>565</v>
      </c>
      <c r="E1297" s="38" t="s">
        <v>569</v>
      </c>
      <c r="F1297" s="39"/>
      <c r="G1297" s="39">
        <v>3.8279999999999998</v>
      </c>
      <c r="H1297" s="39">
        <v>2.5999999999999999E-2</v>
      </c>
      <c r="I1297" s="12">
        <f t="shared" si="408"/>
        <v>3.8539999999999996</v>
      </c>
      <c r="J1297" s="38">
        <v>2921.5639999999999</v>
      </c>
      <c r="K1297" s="38"/>
      <c r="L1297" s="38">
        <f t="shared" si="409"/>
        <v>2921.5639999999999</v>
      </c>
      <c r="M1297" s="38">
        <f t="shared" si="395"/>
        <v>758.06019719771666</v>
      </c>
      <c r="N1297" s="12" t="e">
        <f t="shared" si="410"/>
        <v>#REF!</v>
      </c>
      <c r="O1297" s="12" t="e">
        <f t="shared" si="411"/>
        <v>#REF!</v>
      </c>
      <c r="P1297" s="12" t="e">
        <f t="shared" si="412"/>
        <v>#REF!</v>
      </c>
    </row>
    <row r="1298" spans="1:16" ht="15.75" hidden="1" x14ac:dyDescent="0.25">
      <c r="A1298" s="14">
        <v>23</v>
      </c>
      <c r="B1298" s="14">
        <v>37</v>
      </c>
      <c r="C1298" s="8" t="s">
        <v>1744</v>
      </c>
      <c r="D1298" s="28" t="s">
        <v>566</v>
      </c>
      <c r="E1298" s="42" t="s">
        <v>961</v>
      </c>
      <c r="F1298" s="43"/>
      <c r="G1298" s="43">
        <v>18.428000000000001</v>
      </c>
      <c r="H1298" s="43">
        <v>0.108</v>
      </c>
      <c r="I1298" s="12">
        <f t="shared" si="408"/>
        <v>18.536000000000001</v>
      </c>
      <c r="J1298" s="67">
        <v>17490.359</v>
      </c>
      <c r="K1298" s="42"/>
      <c r="L1298" s="42">
        <f t="shared" si="409"/>
        <v>17490.359</v>
      </c>
      <c r="M1298" s="42">
        <f t="shared" si="395"/>
        <v>943.58863832542079</v>
      </c>
      <c r="N1298" s="12" t="e">
        <f t="shared" si="410"/>
        <v>#REF!</v>
      </c>
      <c r="O1298" s="12" t="e">
        <f t="shared" si="411"/>
        <v>#REF!</v>
      </c>
      <c r="P1298" s="12" t="e">
        <f t="shared" si="412"/>
        <v>#REF!</v>
      </c>
    </row>
    <row r="1299" spans="1:16" ht="15.75" hidden="1" x14ac:dyDescent="0.25">
      <c r="A1299" s="14">
        <v>23</v>
      </c>
      <c r="B1299" s="14">
        <v>38</v>
      </c>
      <c r="C1299" s="8" t="s">
        <v>1744</v>
      </c>
      <c r="D1299" s="28" t="s">
        <v>568</v>
      </c>
      <c r="E1299" s="42" t="s">
        <v>962</v>
      </c>
      <c r="F1299" s="43"/>
      <c r="G1299" s="43">
        <v>5.2670000000000003</v>
      </c>
      <c r="H1299" s="43">
        <v>3.9E-2</v>
      </c>
      <c r="I1299" s="12">
        <f t="shared" si="408"/>
        <v>5.306</v>
      </c>
      <c r="J1299" s="42">
        <v>38498.400000000001</v>
      </c>
      <c r="K1299" s="42"/>
      <c r="L1299" s="42">
        <f t="shared" si="409"/>
        <v>38498.400000000001</v>
      </c>
      <c r="M1299" s="42">
        <f t="shared" si="395"/>
        <v>7255.6351300414626</v>
      </c>
      <c r="N1299" s="12" t="e">
        <f t="shared" si="410"/>
        <v>#REF!</v>
      </c>
      <c r="O1299" s="12" t="e">
        <f t="shared" si="411"/>
        <v>#REF!</v>
      </c>
      <c r="P1299" s="12" t="e">
        <f t="shared" si="412"/>
        <v>#REF!</v>
      </c>
    </row>
    <row r="1300" spans="1:16" ht="15.75" hidden="1" x14ac:dyDescent="0.25">
      <c r="A1300" s="49">
        <v>23</v>
      </c>
      <c r="B1300" s="49">
        <v>39</v>
      </c>
      <c r="C1300" s="50" t="s">
        <v>1744</v>
      </c>
      <c r="D1300" s="51" t="s">
        <v>963</v>
      </c>
      <c r="E1300" s="52" t="s">
        <v>964</v>
      </c>
      <c r="F1300" s="53"/>
      <c r="G1300" s="53">
        <v>5.6550000000000002</v>
      </c>
      <c r="H1300" s="53">
        <v>5.1999999999999998E-2</v>
      </c>
      <c r="I1300" s="12">
        <f t="shared" si="408"/>
        <v>5.7069999999999999</v>
      </c>
      <c r="J1300" s="52">
        <v>3287.4380000000001</v>
      </c>
      <c r="K1300" s="52"/>
      <c r="L1300" s="52">
        <f t="shared" si="409"/>
        <v>3287.4380000000001</v>
      </c>
      <c r="M1300" s="52">
        <f t="shared" si="395"/>
        <v>576.03609602242864</v>
      </c>
      <c r="N1300" s="12" t="e">
        <f t="shared" si="410"/>
        <v>#REF!</v>
      </c>
      <c r="O1300" s="12" t="e">
        <f t="shared" si="411"/>
        <v>#REF!</v>
      </c>
      <c r="P1300" s="12" t="e">
        <f t="shared" si="412"/>
        <v>#REF!</v>
      </c>
    </row>
    <row r="1301" spans="1:16" ht="15.75" hidden="1" x14ac:dyDescent="0.25">
      <c r="A1301" s="49">
        <v>23</v>
      </c>
      <c r="B1301" s="49">
        <v>40</v>
      </c>
      <c r="C1301" s="50" t="s">
        <v>1744</v>
      </c>
      <c r="D1301" s="51" t="s">
        <v>965</v>
      </c>
      <c r="E1301" s="52" t="s">
        <v>966</v>
      </c>
      <c r="F1301" s="53"/>
      <c r="G1301" s="53">
        <v>2.052</v>
      </c>
      <c r="H1301" s="53">
        <v>2.1999999999999999E-2</v>
      </c>
      <c r="I1301" s="12">
        <f t="shared" si="408"/>
        <v>2.0739999999999998</v>
      </c>
      <c r="J1301" s="52">
        <v>2112.652</v>
      </c>
      <c r="K1301" s="52"/>
      <c r="L1301" s="52">
        <f t="shared" si="409"/>
        <v>2112.652</v>
      </c>
      <c r="M1301" s="52">
        <f t="shared" si="395"/>
        <v>1018.6364513018323</v>
      </c>
      <c r="N1301" s="12" t="e">
        <f t="shared" si="410"/>
        <v>#REF!</v>
      </c>
      <c r="O1301" s="12" t="e">
        <f t="shared" si="411"/>
        <v>#REF!</v>
      </c>
      <c r="P1301" s="12" t="e">
        <f t="shared" si="412"/>
        <v>#REF!</v>
      </c>
    </row>
    <row r="1302" spans="1:16" ht="15.75" hidden="1" x14ac:dyDescent="0.25">
      <c r="A1302" s="49">
        <v>23</v>
      </c>
      <c r="B1302" s="49">
        <v>41</v>
      </c>
      <c r="C1302" s="50" t="s">
        <v>1744</v>
      </c>
      <c r="D1302" s="51" t="s">
        <v>967</v>
      </c>
      <c r="E1302" s="52" t="s">
        <v>968</v>
      </c>
      <c r="F1302" s="53"/>
      <c r="G1302" s="53">
        <v>2.7280000000000002</v>
      </c>
      <c r="H1302" s="53">
        <v>3.3000000000000002E-2</v>
      </c>
      <c r="I1302" s="12">
        <f t="shared" si="408"/>
        <v>2.7610000000000001</v>
      </c>
      <c r="J1302" s="52">
        <v>3244.1129999999998</v>
      </c>
      <c r="K1302" s="52"/>
      <c r="L1302" s="52">
        <f t="shared" si="409"/>
        <v>3244.1129999999998</v>
      </c>
      <c r="M1302" s="52">
        <f t="shared" si="395"/>
        <v>1174.9775443679825</v>
      </c>
      <c r="N1302" s="12" t="e">
        <f t="shared" si="410"/>
        <v>#REF!</v>
      </c>
      <c r="O1302" s="12" t="e">
        <f t="shared" si="411"/>
        <v>#REF!</v>
      </c>
      <c r="P1302" s="12" t="e">
        <f t="shared" si="412"/>
        <v>#REF!</v>
      </c>
    </row>
    <row r="1303" spans="1:16" ht="15.75" hidden="1" x14ac:dyDescent="0.25">
      <c r="A1303" s="49">
        <v>23</v>
      </c>
      <c r="B1303" s="49">
        <v>42</v>
      </c>
      <c r="C1303" s="50" t="s">
        <v>1744</v>
      </c>
      <c r="D1303" s="51" t="s">
        <v>969</v>
      </c>
      <c r="E1303" s="52" t="s">
        <v>970</v>
      </c>
      <c r="F1303" s="53"/>
      <c r="G1303" s="53">
        <v>16.622</v>
      </c>
      <c r="H1303" s="53">
        <v>0.115</v>
      </c>
      <c r="I1303" s="12">
        <f t="shared" si="408"/>
        <v>16.736999999999998</v>
      </c>
      <c r="J1303" s="52">
        <v>26627.236000000001</v>
      </c>
      <c r="K1303" s="52"/>
      <c r="L1303" s="52">
        <f t="shared" si="409"/>
        <v>26627.236000000001</v>
      </c>
      <c r="M1303" s="52">
        <f t="shared" si="395"/>
        <v>1590.9204755929977</v>
      </c>
      <c r="N1303" s="12" t="e">
        <f t="shared" si="410"/>
        <v>#REF!</v>
      </c>
      <c r="O1303" s="12" t="e">
        <f t="shared" si="411"/>
        <v>#REF!</v>
      </c>
      <c r="P1303" s="12" t="e">
        <f t="shared" si="412"/>
        <v>#REF!</v>
      </c>
    </row>
    <row r="1304" spans="1:16" ht="15.75" hidden="1" x14ac:dyDescent="0.25">
      <c r="A1304" s="49">
        <v>23</v>
      </c>
      <c r="B1304" s="49">
        <v>43</v>
      </c>
      <c r="C1304" s="50" t="s">
        <v>1744</v>
      </c>
      <c r="D1304" s="51" t="s">
        <v>971</v>
      </c>
      <c r="E1304" s="52" t="s">
        <v>972</v>
      </c>
      <c r="F1304" s="53"/>
      <c r="G1304" s="53">
        <v>13.332000000000001</v>
      </c>
      <c r="H1304" s="53">
        <v>8.4000000000000005E-2</v>
      </c>
      <c r="I1304" s="12">
        <f t="shared" si="408"/>
        <v>13.416</v>
      </c>
      <c r="J1304" s="52">
        <v>18901.582999999999</v>
      </c>
      <c r="K1304" s="52"/>
      <c r="L1304" s="52">
        <f t="shared" si="409"/>
        <v>18901.582999999999</v>
      </c>
      <c r="M1304" s="52">
        <f t="shared" si="395"/>
        <v>1408.8836463923672</v>
      </c>
      <c r="N1304" s="12" t="e">
        <f t="shared" si="410"/>
        <v>#REF!</v>
      </c>
      <c r="O1304" s="12" t="e">
        <f t="shared" si="411"/>
        <v>#REF!</v>
      </c>
      <c r="P1304" s="12" t="e">
        <f t="shared" si="412"/>
        <v>#REF!</v>
      </c>
    </row>
    <row r="1305" spans="1:16" ht="15.75" hidden="1" x14ac:dyDescent="0.25">
      <c r="A1305" s="49">
        <v>23</v>
      </c>
      <c r="B1305" s="49">
        <v>44</v>
      </c>
      <c r="C1305" s="50" t="s">
        <v>1744</v>
      </c>
      <c r="D1305" s="51" t="s">
        <v>973</v>
      </c>
      <c r="E1305" s="52" t="s">
        <v>974</v>
      </c>
      <c r="F1305" s="53"/>
      <c r="G1305" s="53">
        <v>2.7069999999999999</v>
      </c>
      <c r="H1305" s="53">
        <v>4.8000000000000001E-2</v>
      </c>
      <c r="I1305" s="12">
        <f t="shared" si="408"/>
        <v>2.7549999999999999</v>
      </c>
      <c r="J1305" s="52">
        <v>3245.5160000000001</v>
      </c>
      <c r="K1305" s="52"/>
      <c r="L1305" s="52">
        <f t="shared" si="409"/>
        <v>3245.5160000000001</v>
      </c>
      <c r="M1305" s="52">
        <f t="shared" si="395"/>
        <v>1178.0457350272234</v>
      </c>
      <c r="N1305" s="12" t="e">
        <f t="shared" si="410"/>
        <v>#REF!</v>
      </c>
      <c r="O1305" s="12" t="e">
        <f t="shared" si="411"/>
        <v>#REF!</v>
      </c>
      <c r="P1305" s="12" t="e">
        <f t="shared" si="412"/>
        <v>#REF!</v>
      </c>
    </row>
    <row r="1306" spans="1:16" ht="15.75" hidden="1" x14ac:dyDescent="0.25">
      <c r="A1306" s="49">
        <v>23</v>
      </c>
      <c r="B1306" s="49">
        <v>45</v>
      </c>
      <c r="C1306" s="50" t="s">
        <v>1744</v>
      </c>
      <c r="D1306" s="51" t="s">
        <v>975</v>
      </c>
      <c r="E1306" s="52" t="s">
        <v>976</v>
      </c>
      <c r="F1306" s="53"/>
      <c r="G1306" s="53">
        <v>4.0430000000000001</v>
      </c>
      <c r="H1306" s="53">
        <v>1.6E-2</v>
      </c>
      <c r="I1306" s="12">
        <f t="shared" si="408"/>
        <v>4.0590000000000002</v>
      </c>
      <c r="J1306" s="52">
        <f>3318.989</f>
        <v>3318.989</v>
      </c>
      <c r="K1306" s="52"/>
      <c r="L1306" s="52">
        <f t="shared" si="409"/>
        <v>3318.989</v>
      </c>
      <c r="M1306" s="52">
        <f t="shared" si="395"/>
        <v>817.68637595466862</v>
      </c>
      <c r="N1306" s="12" t="e">
        <f t="shared" si="410"/>
        <v>#REF!</v>
      </c>
      <c r="O1306" s="12" t="e">
        <f t="shared" si="411"/>
        <v>#REF!</v>
      </c>
      <c r="P1306" s="12" t="e">
        <f t="shared" si="412"/>
        <v>#REF!</v>
      </c>
    </row>
    <row r="1307" spans="1:16" ht="15.75" hidden="1" x14ac:dyDescent="0.25">
      <c r="A1307" s="49">
        <v>23</v>
      </c>
      <c r="B1307" s="49">
        <v>46</v>
      </c>
      <c r="C1307" s="50" t="s">
        <v>1744</v>
      </c>
      <c r="D1307" s="51" t="s">
        <v>977</v>
      </c>
      <c r="E1307" s="52" t="s">
        <v>978</v>
      </c>
      <c r="F1307" s="53"/>
      <c r="G1307" s="53">
        <v>1.8979999999999999</v>
      </c>
      <c r="H1307" s="53">
        <v>0.01</v>
      </c>
      <c r="I1307" s="12">
        <f t="shared" si="408"/>
        <v>1.9079999999999999</v>
      </c>
      <c r="J1307" s="52">
        <v>2848.643</v>
      </c>
      <c r="K1307" s="52"/>
      <c r="L1307" s="52">
        <f t="shared" si="409"/>
        <v>2848.643</v>
      </c>
      <c r="M1307" s="52">
        <f t="shared" si="395"/>
        <v>1492.9994758909854</v>
      </c>
      <c r="N1307" s="12" t="e">
        <f t="shared" si="410"/>
        <v>#REF!</v>
      </c>
      <c r="O1307" s="12" t="e">
        <f t="shared" si="411"/>
        <v>#REF!</v>
      </c>
      <c r="P1307" s="12" t="e">
        <f t="shared" si="412"/>
        <v>#REF!</v>
      </c>
    </row>
    <row r="1308" spans="1:16" ht="15.75" hidden="1" x14ac:dyDescent="0.25">
      <c r="A1308" s="49">
        <v>23</v>
      </c>
      <c r="B1308" s="49">
        <v>47</v>
      </c>
      <c r="C1308" s="50" t="s">
        <v>1744</v>
      </c>
      <c r="D1308" s="51" t="s">
        <v>979</v>
      </c>
      <c r="E1308" s="52" t="s">
        <v>980</v>
      </c>
      <c r="F1308" s="53"/>
      <c r="G1308" s="53">
        <v>3.7069999999999999</v>
      </c>
      <c r="H1308" s="53">
        <v>0.03</v>
      </c>
      <c r="I1308" s="12">
        <f t="shared" si="408"/>
        <v>3.7369999999999997</v>
      </c>
      <c r="J1308" s="52">
        <v>4041.1410000000001</v>
      </c>
      <c r="K1308" s="52"/>
      <c r="L1308" s="52">
        <f t="shared" si="409"/>
        <v>4041.1410000000001</v>
      </c>
      <c r="M1308" s="52">
        <f t="shared" si="395"/>
        <v>1081.3864062081884</v>
      </c>
      <c r="N1308" s="12" t="e">
        <f t="shared" si="410"/>
        <v>#REF!</v>
      </c>
      <c r="O1308" s="12" t="e">
        <f t="shared" si="411"/>
        <v>#REF!</v>
      </c>
      <c r="P1308" s="12" t="e">
        <f t="shared" si="412"/>
        <v>#REF!</v>
      </c>
    </row>
    <row r="1309" spans="1:16" ht="15.75" hidden="1" x14ac:dyDescent="0.25">
      <c r="A1309" s="49">
        <v>23</v>
      </c>
      <c r="B1309" s="49">
        <v>48</v>
      </c>
      <c r="C1309" s="50" t="s">
        <v>1744</v>
      </c>
      <c r="D1309" s="51" t="s">
        <v>981</v>
      </c>
      <c r="E1309" s="52" t="s">
        <v>982</v>
      </c>
      <c r="F1309" s="53"/>
      <c r="G1309" s="53">
        <v>6.9550000000000001</v>
      </c>
      <c r="H1309" s="53">
        <v>3.7999999999999999E-2</v>
      </c>
      <c r="I1309" s="12">
        <f t="shared" si="408"/>
        <v>6.9930000000000003</v>
      </c>
      <c r="J1309" s="52">
        <v>17274.656999999999</v>
      </c>
      <c r="K1309" s="52"/>
      <c r="L1309" s="52">
        <f t="shared" si="409"/>
        <v>17274.656999999999</v>
      </c>
      <c r="M1309" s="52">
        <f t="shared" si="395"/>
        <v>2470.2784212784209</v>
      </c>
      <c r="N1309" s="12" t="e">
        <f t="shared" si="410"/>
        <v>#REF!</v>
      </c>
      <c r="O1309" s="12" t="e">
        <f t="shared" si="411"/>
        <v>#REF!</v>
      </c>
      <c r="P1309" s="12" t="e">
        <f t="shared" si="412"/>
        <v>#REF!</v>
      </c>
    </row>
    <row r="1310" spans="1:16" ht="15.75" hidden="1" x14ac:dyDescent="0.25">
      <c r="A1310" s="49">
        <v>23</v>
      </c>
      <c r="B1310" s="49">
        <v>49</v>
      </c>
      <c r="C1310" s="50" t="s">
        <v>1744</v>
      </c>
      <c r="D1310" s="51" t="s">
        <v>983</v>
      </c>
      <c r="E1310" s="52" t="s">
        <v>984</v>
      </c>
      <c r="F1310" s="53"/>
      <c r="G1310" s="53">
        <v>6.0380000000000003</v>
      </c>
      <c r="H1310" s="53">
        <v>0.04</v>
      </c>
      <c r="I1310" s="12">
        <f t="shared" si="408"/>
        <v>6.0780000000000003</v>
      </c>
      <c r="J1310" s="52">
        <v>7953.9880000000003</v>
      </c>
      <c r="K1310" s="52"/>
      <c r="L1310" s="52">
        <f t="shared" si="409"/>
        <v>7953.9880000000003</v>
      </c>
      <c r="M1310" s="52">
        <f t="shared" si="395"/>
        <v>1308.6521882198092</v>
      </c>
      <c r="N1310" s="12" t="e">
        <f t="shared" si="410"/>
        <v>#REF!</v>
      </c>
      <c r="O1310" s="12" t="e">
        <f t="shared" si="411"/>
        <v>#REF!</v>
      </c>
      <c r="P1310" s="12" t="e">
        <f t="shared" si="412"/>
        <v>#REF!</v>
      </c>
    </row>
    <row r="1311" spans="1:16" ht="15.75" hidden="1" x14ac:dyDescent="0.25">
      <c r="A1311" s="49">
        <v>23</v>
      </c>
      <c r="B1311" s="49">
        <v>50</v>
      </c>
      <c r="C1311" s="50" t="s">
        <v>1744</v>
      </c>
      <c r="D1311" s="51" t="s">
        <v>985</v>
      </c>
      <c r="E1311" s="52" t="s">
        <v>986</v>
      </c>
      <c r="F1311" s="53"/>
      <c r="G1311" s="53">
        <v>5.2430000000000003</v>
      </c>
      <c r="H1311" s="53">
        <v>4.2000000000000003E-2</v>
      </c>
      <c r="I1311" s="12">
        <f t="shared" si="408"/>
        <v>5.2850000000000001</v>
      </c>
      <c r="J1311" s="52">
        <v>4551.5919999999996</v>
      </c>
      <c r="K1311" s="52"/>
      <c r="L1311" s="52">
        <f t="shared" si="409"/>
        <v>4551.5919999999996</v>
      </c>
      <c r="M1311" s="52">
        <f t="shared" si="395"/>
        <v>861.22838221381255</v>
      </c>
      <c r="N1311" s="12" t="e">
        <f t="shared" si="410"/>
        <v>#REF!</v>
      </c>
      <c r="O1311" s="12" t="e">
        <f t="shared" si="411"/>
        <v>#REF!</v>
      </c>
      <c r="P1311" s="12" t="e">
        <f t="shared" si="412"/>
        <v>#REF!</v>
      </c>
    </row>
    <row r="1312" spans="1:16" ht="15.75" hidden="1" x14ac:dyDescent="0.25">
      <c r="A1312" s="49">
        <v>23</v>
      </c>
      <c r="B1312" s="49">
        <v>51</v>
      </c>
      <c r="C1312" s="50" t="s">
        <v>1744</v>
      </c>
      <c r="D1312" s="51" t="s">
        <v>987</v>
      </c>
      <c r="E1312" s="52" t="s">
        <v>988</v>
      </c>
      <c r="F1312" s="53"/>
      <c r="G1312" s="53">
        <v>4.07</v>
      </c>
      <c r="H1312" s="53">
        <v>3.4000000000000002E-2</v>
      </c>
      <c r="I1312" s="12">
        <f t="shared" si="408"/>
        <v>4.1040000000000001</v>
      </c>
      <c r="J1312" s="52">
        <v>3039.1469999999999</v>
      </c>
      <c r="K1312" s="52"/>
      <c r="L1312" s="52">
        <f t="shared" si="409"/>
        <v>3039.1469999999999</v>
      </c>
      <c r="M1312" s="52">
        <f t="shared" si="395"/>
        <v>740.53289473684208</v>
      </c>
      <c r="N1312" s="12" t="e">
        <f t="shared" si="410"/>
        <v>#REF!</v>
      </c>
      <c r="O1312" s="12" t="e">
        <f t="shared" si="411"/>
        <v>#REF!</v>
      </c>
      <c r="P1312" s="12" t="e">
        <f t="shared" si="412"/>
        <v>#REF!</v>
      </c>
    </row>
    <row r="1313" spans="1:16" ht="31.5" hidden="1" x14ac:dyDescent="0.25">
      <c r="A1313" s="49">
        <v>23</v>
      </c>
      <c r="B1313" s="49">
        <v>52</v>
      </c>
      <c r="C1313" s="50" t="s">
        <v>1744</v>
      </c>
      <c r="D1313" s="51" t="s">
        <v>989</v>
      </c>
      <c r="E1313" s="52" t="s">
        <v>990</v>
      </c>
      <c r="F1313" s="53"/>
      <c r="G1313" s="53">
        <v>2.35</v>
      </c>
      <c r="H1313" s="53">
        <v>4.0000000000000001E-3</v>
      </c>
      <c r="I1313" s="12">
        <f t="shared" si="408"/>
        <v>2.3540000000000001</v>
      </c>
      <c r="J1313" s="52">
        <f>2842.584+1958.586</f>
        <v>4801.17</v>
      </c>
      <c r="K1313" s="52"/>
      <c r="L1313" s="52">
        <f t="shared" si="409"/>
        <v>4801.17</v>
      </c>
      <c r="M1313" s="52">
        <f t="shared" si="395"/>
        <v>2039.5794392523364</v>
      </c>
      <c r="N1313" s="12" t="e">
        <f t="shared" si="410"/>
        <v>#REF!</v>
      </c>
      <c r="O1313" s="12" t="e">
        <f t="shared" si="411"/>
        <v>#REF!</v>
      </c>
      <c r="P1313" s="12" t="e">
        <f t="shared" si="412"/>
        <v>#REF!</v>
      </c>
    </row>
    <row r="1314" spans="1:16" ht="18.75" hidden="1" x14ac:dyDescent="0.3">
      <c r="A1314" s="49">
        <v>23</v>
      </c>
      <c r="B1314" s="49">
        <v>53</v>
      </c>
      <c r="C1314" s="12" t="s">
        <v>1744</v>
      </c>
      <c r="D1314" s="61" t="s">
        <v>21</v>
      </c>
      <c r="E1314" s="63" t="s">
        <v>22</v>
      </c>
      <c r="F1314" s="53"/>
      <c r="G1314" s="53">
        <v>3.419</v>
      </c>
      <c r="H1314" s="53">
        <v>6.0000000000000001E-3</v>
      </c>
      <c r="I1314" s="12">
        <f t="shared" si="408"/>
        <v>3.4249999999999998</v>
      </c>
      <c r="J1314" s="52">
        <v>4191.8119999999999</v>
      </c>
      <c r="K1314" s="52"/>
      <c r="L1314" s="52">
        <f>J1314+K1314</f>
        <v>4191.8119999999999</v>
      </c>
      <c r="M1314" s="52">
        <f>L1314/I1314</f>
        <v>1223.8867153284673</v>
      </c>
      <c r="N1314" s="12" t="e">
        <f t="shared" si="410"/>
        <v>#REF!</v>
      </c>
      <c r="O1314" s="12" t="e">
        <f t="shared" si="411"/>
        <v>#REF!</v>
      </c>
      <c r="P1314" s="12" t="e">
        <f t="shared" si="412"/>
        <v>#REF!</v>
      </c>
    </row>
    <row r="1315" spans="1:16" ht="18.75" hidden="1" x14ac:dyDescent="0.3">
      <c r="A1315" s="49">
        <v>23</v>
      </c>
      <c r="B1315" s="49">
        <v>54</v>
      </c>
      <c r="C1315" s="37" t="s">
        <v>1744</v>
      </c>
      <c r="D1315" s="61" t="s">
        <v>23</v>
      </c>
      <c r="E1315" s="63" t="s">
        <v>24</v>
      </c>
      <c r="F1315" s="53"/>
      <c r="G1315" s="53">
        <v>2.762</v>
      </c>
      <c r="H1315" s="53">
        <v>2.1999999999999999E-2</v>
      </c>
      <c r="I1315" s="12">
        <f t="shared" si="408"/>
        <v>2.7839999999999998</v>
      </c>
      <c r="J1315" s="52">
        <v>2905.1309999999999</v>
      </c>
      <c r="K1315" s="52"/>
      <c r="L1315" s="52">
        <f>J1315+K1315</f>
        <v>2905.1309999999999</v>
      </c>
      <c r="M1315" s="52">
        <f>L1315/I1315</f>
        <v>1043.5096982758621</v>
      </c>
      <c r="N1315" s="12" t="e">
        <f t="shared" si="410"/>
        <v>#REF!</v>
      </c>
      <c r="O1315" s="12" t="e">
        <f t="shared" si="411"/>
        <v>#REF!</v>
      </c>
      <c r="P1315" s="12" t="e">
        <f t="shared" si="412"/>
        <v>#REF!</v>
      </c>
    </row>
    <row r="1316" spans="1:16" s="75" customFormat="1" ht="15.75" hidden="1" x14ac:dyDescent="0.25">
      <c r="A1316" s="72">
        <v>24</v>
      </c>
      <c r="B1316" s="72" t="s">
        <v>1126</v>
      </c>
      <c r="C1316" s="73" t="s">
        <v>1161</v>
      </c>
      <c r="D1316" s="74"/>
      <c r="E1316" s="71" t="s">
        <v>1714</v>
      </c>
      <c r="F1316" s="76"/>
      <c r="G1316" s="71">
        <f t="shared" ref="G1316:L1316" si="413">G1317+G1318+G1321+G1333</f>
        <v>908.12</v>
      </c>
      <c r="H1316" s="71">
        <f t="shared" si="413"/>
        <v>2.3730000000000002</v>
      </c>
      <c r="I1316" s="71">
        <f t="shared" si="413"/>
        <v>910.49299999999994</v>
      </c>
      <c r="J1316" s="71">
        <f t="shared" si="413"/>
        <v>732715.76699999999</v>
      </c>
      <c r="K1316" s="71">
        <f t="shared" si="413"/>
        <v>0</v>
      </c>
      <c r="L1316" s="71">
        <f t="shared" si="413"/>
        <v>732715.76699999999</v>
      </c>
      <c r="M1316" s="71">
        <f>L1316/I1316</f>
        <v>804.74618366093978</v>
      </c>
      <c r="N1316" s="71" t="e">
        <f>M1316/$M$1429</f>
        <v>#REF!</v>
      </c>
      <c r="O1316" s="71" t="e">
        <f>O1317+O1318+O1321+O1333</f>
        <v>#REF!</v>
      </c>
      <c r="P1316" s="71" t="e">
        <f>P1317+P1318+P1321+P1333</f>
        <v>#REF!</v>
      </c>
    </row>
    <row r="1317" spans="1:16" ht="15.75" hidden="1" x14ac:dyDescent="0.25">
      <c r="A1317" s="14">
        <v>24</v>
      </c>
      <c r="B1317" s="14" t="s">
        <v>1126</v>
      </c>
      <c r="C1317" s="8" t="s">
        <v>1159</v>
      </c>
      <c r="D1317" s="28" t="s">
        <v>2553</v>
      </c>
      <c r="E1317" s="12" t="s">
        <v>1160</v>
      </c>
      <c r="F1317" s="1"/>
      <c r="G1317" s="1">
        <v>0</v>
      </c>
      <c r="H1317" s="1">
        <v>0</v>
      </c>
      <c r="I1317" s="12">
        <f>H1317+G1317</f>
        <v>0</v>
      </c>
      <c r="J1317" s="12"/>
      <c r="K1317" s="12"/>
      <c r="L1317" s="12"/>
      <c r="M1317" s="12"/>
      <c r="N1317" s="12"/>
      <c r="O1317" s="12"/>
      <c r="P1317" s="12"/>
    </row>
    <row r="1318" spans="1:16" ht="15.75" hidden="1" x14ac:dyDescent="0.25">
      <c r="A1318" s="15">
        <v>24</v>
      </c>
      <c r="B1318" s="15" t="s">
        <v>1126</v>
      </c>
      <c r="C1318" s="10" t="s">
        <v>1127</v>
      </c>
      <c r="D1318" s="29"/>
      <c r="E1318" s="37" t="s">
        <v>1702</v>
      </c>
      <c r="F1318" s="6"/>
      <c r="G1318" s="37">
        <f t="shared" ref="G1318:L1318" si="414">SUM(G1319:G1320)</f>
        <v>276.94299999999998</v>
      </c>
      <c r="H1318" s="37">
        <f>SUM(H1319:H1320)</f>
        <v>1.456</v>
      </c>
      <c r="I1318" s="37">
        <f t="shared" si="414"/>
        <v>278.399</v>
      </c>
      <c r="J1318" s="37">
        <f t="shared" si="414"/>
        <v>447670.39399999997</v>
      </c>
      <c r="K1318" s="37">
        <f t="shared" si="414"/>
        <v>-3085.38</v>
      </c>
      <c r="L1318" s="37">
        <f t="shared" si="414"/>
        <v>444585.01399999997</v>
      </c>
      <c r="M1318" s="37">
        <f t="shared" ref="M1318:M1355" si="415">L1318/I1318</f>
        <v>1596.934665713598</v>
      </c>
      <c r="N1318" s="37" t="e">
        <f>M1318/$M$1429</f>
        <v>#REF!</v>
      </c>
      <c r="O1318" s="37" t="e">
        <f>SUM(O1319:O1320)</f>
        <v>#REF!</v>
      </c>
      <c r="P1318" s="37" t="e">
        <f>SUM(P1319:P1320)</f>
        <v>#REF!</v>
      </c>
    </row>
    <row r="1319" spans="1:16" ht="15.75" hidden="1" x14ac:dyDescent="0.25">
      <c r="A1319" s="14">
        <v>24</v>
      </c>
      <c r="B1319" s="14" t="s">
        <v>1811</v>
      </c>
      <c r="C1319" s="8" t="s">
        <v>1119</v>
      </c>
      <c r="D1319" s="28" t="s">
        <v>2554</v>
      </c>
      <c r="E1319" s="12" t="s">
        <v>1700</v>
      </c>
      <c r="F1319" s="1"/>
      <c r="G1319" s="1">
        <v>266.03399999999999</v>
      </c>
      <c r="H1319" s="1">
        <v>1.444</v>
      </c>
      <c r="I1319" s="12">
        <f>H1319+G1319</f>
        <v>267.47800000000001</v>
      </c>
      <c r="J1319" s="12">
        <v>427582.00099999999</v>
      </c>
      <c r="K1319" s="12"/>
      <c r="L1319" s="12">
        <f>J1319+K1319</f>
        <v>427582.00099999999</v>
      </c>
      <c r="M1319" s="12">
        <f t="shared" si="415"/>
        <v>1598.5688579995362</v>
      </c>
      <c r="N1319" s="12" t="e">
        <f>M1319/$M$1431</f>
        <v>#REF!</v>
      </c>
      <c r="O1319" s="12" t="e">
        <f>ROUND(IF(N1319&lt;110%,0,(M1319-$M$1431*1.1)*0.8)*I1319,1)</f>
        <v>#REF!</v>
      </c>
      <c r="P1319" s="12" t="e">
        <f>ROUND(IF(N1319&gt;90%,0,(-M1319+$M$1431*0.9)*0.8)*I1319,1)</f>
        <v>#REF!</v>
      </c>
    </row>
    <row r="1320" spans="1:16" ht="15.75" hidden="1" x14ac:dyDescent="0.25">
      <c r="A1320" s="14">
        <v>24</v>
      </c>
      <c r="B1320" s="14">
        <v>2</v>
      </c>
      <c r="C1320" s="8" t="s">
        <v>1119</v>
      </c>
      <c r="D1320" s="28" t="s">
        <v>2555</v>
      </c>
      <c r="E1320" s="12" t="s">
        <v>1701</v>
      </c>
      <c r="F1320" s="1"/>
      <c r="G1320" s="1">
        <v>10.909000000000001</v>
      </c>
      <c r="H1320" s="1">
        <v>1.2E-2</v>
      </c>
      <c r="I1320" s="12">
        <f>H1320+G1320</f>
        <v>10.921000000000001</v>
      </c>
      <c r="J1320" s="12">
        <v>20088.393</v>
      </c>
      <c r="K1320" s="12">
        <f>-5142.3*0.6</f>
        <v>-3085.38</v>
      </c>
      <c r="L1320" s="12">
        <f>J1320+K1320</f>
        <v>17003.012999999999</v>
      </c>
      <c r="M1320" s="12">
        <f t="shared" si="415"/>
        <v>1556.9098983609556</v>
      </c>
      <c r="N1320" s="12" t="e">
        <f>M1320/$M$1431</f>
        <v>#REF!</v>
      </c>
      <c r="O1320" s="12" t="e">
        <f>ROUND(IF(N1320&lt;110%,0,(M1320-$M$1431*1.1)*0.8)*I1320,1)</f>
        <v>#REF!</v>
      </c>
      <c r="P1320" s="12" t="e">
        <f>ROUND(IF(N1320&gt;90%,0,(-M1320+$M$1431*0.9)*0.8)*I1320,1)</f>
        <v>#REF!</v>
      </c>
    </row>
    <row r="1321" spans="1:16" ht="15.75" hidden="1" x14ac:dyDescent="0.25">
      <c r="A1321" s="15">
        <v>24</v>
      </c>
      <c r="B1321" s="15" t="s">
        <v>1126</v>
      </c>
      <c r="C1321" s="10" t="s">
        <v>1157</v>
      </c>
      <c r="D1321" s="29"/>
      <c r="E1321" s="37" t="s">
        <v>1158</v>
      </c>
      <c r="F1321" s="6"/>
      <c r="G1321" s="37">
        <f t="shared" ref="G1321:L1321" si="416">SUM(G1322:G1332)</f>
        <v>367.91700000000003</v>
      </c>
      <c r="H1321" s="37">
        <f>SUM(H1322:H1332)</f>
        <v>0.45500000000000002</v>
      </c>
      <c r="I1321" s="37">
        <f t="shared" si="416"/>
        <v>368.37199999999996</v>
      </c>
      <c r="J1321" s="37">
        <f t="shared" si="416"/>
        <v>140394.56100000002</v>
      </c>
      <c r="K1321" s="37">
        <f t="shared" si="416"/>
        <v>3085.38</v>
      </c>
      <c r="L1321" s="37">
        <f t="shared" si="416"/>
        <v>143479.94100000002</v>
      </c>
      <c r="M1321" s="37">
        <f t="shared" si="415"/>
        <v>389.49741294126602</v>
      </c>
      <c r="N1321" s="37" t="e">
        <f>M1321/$M$1429</f>
        <v>#REF!</v>
      </c>
      <c r="O1321" s="37" t="e">
        <f>SUM(O1322:O1332)</f>
        <v>#REF!</v>
      </c>
      <c r="P1321" s="37" t="e">
        <f>SUM(P1322:P1332)</f>
        <v>#REF!</v>
      </c>
    </row>
    <row r="1322" spans="1:16" ht="15.75" hidden="1" x14ac:dyDescent="0.25">
      <c r="A1322" s="14">
        <v>24</v>
      </c>
      <c r="B1322" s="14" t="s">
        <v>1810</v>
      </c>
      <c r="C1322" s="8" t="s">
        <v>1129</v>
      </c>
      <c r="D1322" s="28" t="s">
        <v>2556</v>
      </c>
      <c r="E1322" s="12" t="s">
        <v>1703</v>
      </c>
      <c r="F1322" s="1"/>
      <c r="G1322" s="1">
        <v>26.872</v>
      </c>
      <c r="H1322" s="1">
        <v>4.8000000000000001E-2</v>
      </c>
      <c r="I1322" s="12">
        <f t="shared" ref="I1322:I1332" si="417">H1322+G1322</f>
        <v>26.919999999999998</v>
      </c>
      <c r="J1322" s="12">
        <v>12958.844999999999</v>
      </c>
      <c r="K1322" s="12"/>
      <c r="L1322" s="12">
        <f t="shared" ref="L1322:L1332" si="418">J1322+K1322</f>
        <v>12958.844999999999</v>
      </c>
      <c r="M1322" s="12">
        <f t="shared" si="415"/>
        <v>481.38354383358097</v>
      </c>
      <c r="N1322" s="12" t="e">
        <f t="shared" ref="N1322:N1332" si="419">M1322/$M$1432</f>
        <v>#REF!</v>
      </c>
      <c r="O1322" s="12" t="e">
        <f t="shared" ref="O1322:O1332" si="420">ROUND(IF(N1322&lt;110%,0,(M1322-$M$1432*1.1)*0.8)*I1322,1)</f>
        <v>#REF!</v>
      </c>
      <c r="P1322" s="12" t="e">
        <f t="shared" ref="P1322:P1332" si="421">ROUND(IF(N1322&gt;90%,0,(-M1322+$M$1432*0.9)*0.8)*I1322,1)</f>
        <v>#REF!</v>
      </c>
    </row>
    <row r="1323" spans="1:16" ht="15.75" hidden="1" x14ac:dyDescent="0.25">
      <c r="A1323" s="14">
        <v>24</v>
      </c>
      <c r="B1323" s="14" t="s">
        <v>1850</v>
      </c>
      <c r="C1323" s="8" t="s">
        <v>1129</v>
      </c>
      <c r="D1323" s="28" t="s">
        <v>2557</v>
      </c>
      <c r="E1323" s="12" t="s">
        <v>1704</v>
      </c>
      <c r="F1323" s="1"/>
      <c r="G1323" s="1">
        <v>21.576000000000001</v>
      </c>
      <c r="H1323" s="1">
        <v>0.02</v>
      </c>
      <c r="I1323" s="12">
        <f t="shared" si="417"/>
        <v>21.596</v>
      </c>
      <c r="J1323" s="12">
        <f>14407.373-3894.455</f>
        <v>10512.918</v>
      </c>
      <c r="K1323" s="12"/>
      <c r="L1323" s="12">
        <f t="shared" si="418"/>
        <v>10512.918</v>
      </c>
      <c r="M1323" s="12">
        <f t="shared" si="415"/>
        <v>486.79931468790517</v>
      </c>
      <c r="N1323" s="12" t="e">
        <f t="shared" si="419"/>
        <v>#REF!</v>
      </c>
      <c r="O1323" s="12" t="e">
        <f t="shared" si="420"/>
        <v>#REF!</v>
      </c>
      <c r="P1323" s="12" t="e">
        <f t="shared" si="421"/>
        <v>#REF!</v>
      </c>
    </row>
    <row r="1324" spans="1:16" ht="15.75" hidden="1" x14ac:dyDescent="0.25">
      <c r="A1324" s="14">
        <v>24</v>
      </c>
      <c r="B1324" s="14" t="s">
        <v>1855</v>
      </c>
      <c r="C1324" s="8" t="s">
        <v>1129</v>
      </c>
      <c r="D1324" s="28" t="s">
        <v>2558</v>
      </c>
      <c r="E1324" s="12" t="s">
        <v>1705</v>
      </c>
      <c r="F1324" s="1"/>
      <c r="G1324" s="1">
        <v>51.671999999999997</v>
      </c>
      <c r="H1324" s="1">
        <v>9.4E-2</v>
      </c>
      <c r="I1324" s="12">
        <f t="shared" si="417"/>
        <v>51.765999999999998</v>
      </c>
      <c r="J1324" s="12">
        <v>15587.695</v>
      </c>
      <c r="K1324" s="12"/>
      <c r="L1324" s="12">
        <f t="shared" si="418"/>
        <v>15587.695</v>
      </c>
      <c r="M1324" s="12">
        <f t="shared" si="415"/>
        <v>301.11839817640924</v>
      </c>
      <c r="N1324" s="12" t="e">
        <f t="shared" si="419"/>
        <v>#REF!</v>
      </c>
      <c r="O1324" s="12" t="e">
        <f t="shared" si="420"/>
        <v>#REF!</v>
      </c>
      <c r="P1324" s="12" t="e">
        <f t="shared" si="421"/>
        <v>#REF!</v>
      </c>
    </row>
    <row r="1325" spans="1:16" ht="15.75" hidden="1" x14ac:dyDescent="0.25">
      <c r="A1325" s="14">
        <v>24</v>
      </c>
      <c r="B1325" s="14" t="s">
        <v>1818</v>
      </c>
      <c r="C1325" s="8" t="s">
        <v>1129</v>
      </c>
      <c r="D1325" s="28" t="s">
        <v>2559</v>
      </c>
      <c r="E1325" s="12" t="s">
        <v>1706</v>
      </c>
      <c r="F1325" s="1"/>
      <c r="G1325" s="1">
        <v>32.243000000000002</v>
      </c>
      <c r="H1325" s="1">
        <v>0.02</v>
      </c>
      <c r="I1325" s="12">
        <f t="shared" si="417"/>
        <v>32.263000000000005</v>
      </c>
      <c r="J1325" s="12">
        <f>22996.198-1257.412-2820.09-2085.277</f>
        <v>16833.419000000002</v>
      </c>
      <c r="K1325" s="12"/>
      <c r="L1325" s="12">
        <f t="shared" si="418"/>
        <v>16833.419000000002</v>
      </c>
      <c r="M1325" s="12">
        <f t="shared" si="415"/>
        <v>521.7561603074729</v>
      </c>
      <c r="N1325" s="12" t="e">
        <f t="shared" si="419"/>
        <v>#REF!</v>
      </c>
      <c r="O1325" s="12" t="e">
        <f t="shared" si="420"/>
        <v>#REF!</v>
      </c>
      <c r="P1325" s="12" t="e">
        <f t="shared" si="421"/>
        <v>#REF!</v>
      </c>
    </row>
    <row r="1326" spans="1:16" ht="15.75" hidden="1" x14ac:dyDescent="0.25">
      <c r="A1326" s="14">
        <v>24</v>
      </c>
      <c r="B1326" s="14" t="s">
        <v>1820</v>
      </c>
      <c r="C1326" s="8" t="s">
        <v>1129</v>
      </c>
      <c r="D1326" s="28" t="s">
        <v>2560</v>
      </c>
      <c r="E1326" s="12" t="s">
        <v>1707</v>
      </c>
      <c r="F1326" s="1"/>
      <c r="G1326" s="1">
        <v>40.633000000000003</v>
      </c>
      <c r="H1326" s="1">
        <v>3.1E-2</v>
      </c>
      <c r="I1326" s="12">
        <f t="shared" si="417"/>
        <v>40.664000000000001</v>
      </c>
      <c r="J1326" s="12">
        <v>19415.269</v>
      </c>
      <c r="K1326" s="12"/>
      <c r="L1326" s="12">
        <f t="shared" si="418"/>
        <v>19415.269</v>
      </c>
      <c r="M1326" s="12">
        <f t="shared" si="415"/>
        <v>477.45595612827071</v>
      </c>
      <c r="N1326" s="12" t="e">
        <f t="shared" si="419"/>
        <v>#REF!</v>
      </c>
      <c r="O1326" s="12" t="e">
        <f t="shared" si="420"/>
        <v>#REF!</v>
      </c>
      <c r="P1326" s="12" t="e">
        <f t="shared" si="421"/>
        <v>#REF!</v>
      </c>
    </row>
    <row r="1327" spans="1:16" ht="15.75" hidden="1" x14ac:dyDescent="0.25">
      <c r="A1327" s="14">
        <v>24</v>
      </c>
      <c r="B1327" s="14" t="s">
        <v>1822</v>
      </c>
      <c r="C1327" s="8" t="s">
        <v>1129</v>
      </c>
      <c r="D1327" s="28" t="s">
        <v>2561</v>
      </c>
      <c r="E1327" s="12" t="s">
        <v>1708</v>
      </c>
      <c r="F1327" s="1"/>
      <c r="G1327" s="1">
        <v>49.338000000000001</v>
      </c>
      <c r="H1327" s="1">
        <v>1.7999999999999999E-2</v>
      </c>
      <c r="I1327" s="12">
        <f t="shared" si="417"/>
        <v>49.356000000000002</v>
      </c>
      <c r="J1327" s="12">
        <f>31851.013-3643.541-17367.435</f>
        <v>10840.036999999997</v>
      </c>
      <c r="K1327" s="12"/>
      <c r="L1327" s="12">
        <f t="shared" si="418"/>
        <v>10840.036999999997</v>
      </c>
      <c r="M1327" s="12">
        <f t="shared" si="415"/>
        <v>219.62956884674603</v>
      </c>
      <c r="N1327" s="12" t="e">
        <f t="shared" si="419"/>
        <v>#REF!</v>
      </c>
      <c r="O1327" s="12" t="e">
        <f t="shared" si="420"/>
        <v>#REF!</v>
      </c>
      <c r="P1327" s="12" t="e">
        <f t="shared" si="421"/>
        <v>#REF!</v>
      </c>
    </row>
    <row r="1328" spans="1:16" ht="15.75" hidden="1" x14ac:dyDescent="0.25">
      <c r="A1328" s="14">
        <v>24</v>
      </c>
      <c r="B1328" s="14" t="s">
        <v>1824</v>
      </c>
      <c r="C1328" s="8" t="s">
        <v>1129</v>
      </c>
      <c r="D1328" s="28" t="s">
        <v>2562</v>
      </c>
      <c r="E1328" s="12" t="s">
        <v>1709</v>
      </c>
      <c r="F1328" s="1"/>
      <c r="G1328" s="1">
        <v>37.338000000000001</v>
      </c>
      <c r="H1328" s="1">
        <v>2.5999999999999999E-2</v>
      </c>
      <c r="I1328" s="12">
        <f t="shared" si="417"/>
        <v>37.364000000000004</v>
      </c>
      <c r="J1328" s="12">
        <f>25495.452-2280.745-14077.981</f>
        <v>9136.7260000000024</v>
      </c>
      <c r="K1328" s="12"/>
      <c r="L1328" s="12">
        <f t="shared" si="418"/>
        <v>9136.7260000000024</v>
      </c>
      <c r="M1328" s="12">
        <f t="shared" si="415"/>
        <v>244.53286586018632</v>
      </c>
      <c r="N1328" s="12" t="e">
        <f t="shared" si="419"/>
        <v>#REF!</v>
      </c>
      <c r="O1328" s="12" t="e">
        <f t="shared" si="420"/>
        <v>#REF!</v>
      </c>
      <c r="P1328" s="12" t="e">
        <f t="shared" si="421"/>
        <v>#REF!</v>
      </c>
    </row>
    <row r="1329" spans="1:16" ht="15.75" hidden="1" x14ac:dyDescent="0.25">
      <c r="A1329" s="14">
        <v>24</v>
      </c>
      <c r="B1329" s="14" t="s">
        <v>1826</v>
      </c>
      <c r="C1329" s="8" t="s">
        <v>1129</v>
      </c>
      <c r="D1329" s="28" t="s">
        <v>2563</v>
      </c>
      <c r="E1329" s="12" t="s">
        <v>1710</v>
      </c>
      <c r="F1329" s="1"/>
      <c r="G1329" s="1">
        <v>14.587999999999999</v>
      </c>
      <c r="H1329" s="1">
        <v>6.0000000000000001E-3</v>
      </c>
      <c r="I1329" s="12">
        <f t="shared" si="417"/>
        <v>14.593999999999999</v>
      </c>
      <c r="J1329" s="12">
        <f>15149.831-1529.998-2660.392</f>
        <v>10959.441000000001</v>
      </c>
      <c r="K1329" s="12"/>
      <c r="L1329" s="12">
        <f t="shared" si="418"/>
        <v>10959.441000000001</v>
      </c>
      <c r="M1329" s="12">
        <f t="shared" si="415"/>
        <v>750.95525558448685</v>
      </c>
      <c r="N1329" s="12" t="e">
        <f t="shared" si="419"/>
        <v>#REF!</v>
      </c>
      <c r="O1329" s="12" t="e">
        <f t="shared" si="420"/>
        <v>#REF!</v>
      </c>
      <c r="P1329" s="12" t="e">
        <f t="shared" si="421"/>
        <v>#REF!</v>
      </c>
    </row>
    <row r="1330" spans="1:16" ht="15.75" hidden="1" x14ac:dyDescent="0.25">
      <c r="A1330" s="14">
        <v>24</v>
      </c>
      <c r="B1330" s="14">
        <v>10</v>
      </c>
      <c r="C1330" s="8" t="s">
        <v>1129</v>
      </c>
      <c r="D1330" s="28" t="s">
        <v>2564</v>
      </c>
      <c r="E1330" s="12" t="s">
        <v>1711</v>
      </c>
      <c r="F1330" s="1"/>
      <c r="G1330" s="1">
        <v>26.94</v>
      </c>
      <c r="H1330" s="1">
        <v>4.5999999999999999E-2</v>
      </c>
      <c r="I1330" s="12">
        <f t="shared" si="417"/>
        <v>26.986000000000001</v>
      </c>
      <c r="J1330" s="12">
        <v>10582.492</v>
      </c>
      <c r="K1330" s="12">
        <f>5142.3*0.6</f>
        <v>3085.38</v>
      </c>
      <c r="L1330" s="12">
        <f t="shared" si="418"/>
        <v>13667.871999999999</v>
      </c>
      <c r="M1330" s="12">
        <f t="shared" si="415"/>
        <v>506.48010079300377</v>
      </c>
      <c r="N1330" s="12" t="e">
        <f t="shared" si="419"/>
        <v>#REF!</v>
      </c>
      <c r="O1330" s="12" t="e">
        <f t="shared" si="420"/>
        <v>#REF!</v>
      </c>
      <c r="P1330" s="12" t="e">
        <f t="shared" si="421"/>
        <v>#REF!</v>
      </c>
    </row>
    <row r="1331" spans="1:16" ht="15.75" hidden="1" x14ac:dyDescent="0.25">
      <c r="A1331" s="14">
        <v>24</v>
      </c>
      <c r="B1331" s="14">
        <v>11</v>
      </c>
      <c r="C1331" s="8" t="s">
        <v>1129</v>
      </c>
      <c r="D1331" s="28" t="s">
        <v>2565</v>
      </c>
      <c r="E1331" s="12" t="s">
        <v>1712</v>
      </c>
      <c r="F1331" s="1"/>
      <c r="G1331" s="1">
        <v>25.45</v>
      </c>
      <c r="H1331" s="1">
        <v>9.2999999999999999E-2</v>
      </c>
      <c r="I1331" s="12">
        <f t="shared" si="417"/>
        <v>25.542999999999999</v>
      </c>
      <c r="J1331" s="12">
        <f>6754.682+23660.2-24929.269</f>
        <v>5485.6130000000012</v>
      </c>
      <c r="K1331" s="12"/>
      <c r="L1331" s="12">
        <f t="shared" si="418"/>
        <v>5485.6130000000012</v>
      </c>
      <c r="M1331" s="12">
        <f t="shared" si="415"/>
        <v>214.75993422855584</v>
      </c>
      <c r="N1331" s="12" t="e">
        <f t="shared" si="419"/>
        <v>#REF!</v>
      </c>
      <c r="O1331" s="12" t="e">
        <f t="shared" si="420"/>
        <v>#REF!</v>
      </c>
      <c r="P1331" s="12" t="e">
        <f t="shared" si="421"/>
        <v>#REF!</v>
      </c>
    </row>
    <row r="1332" spans="1:16" ht="15.75" hidden="1" x14ac:dyDescent="0.25">
      <c r="A1332" s="14">
        <v>24</v>
      </c>
      <c r="B1332" s="14">
        <v>12</v>
      </c>
      <c r="C1332" s="8" t="s">
        <v>1129</v>
      </c>
      <c r="D1332" s="28" t="s">
        <v>2566</v>
      </c>
      <c r="E1332" s="12" t="s">
        <v>1713</v>
      </c>
      <c r="F1332" s="1"/>
      <c r="G1332" s="1">
        <v>41.267000000000003</v>
      </c>
      <c r="H1332" s="1">
        <v>5.2999999999999999E-2</v>
      </c>
      <c r="I1332" s="12">
        <f t="shared" si="417"/>
        <v>41.32</v>
      </c>
      <c r="J1332" s="12">
        <v>18082.106</v>
      </c>
      <c r="K1332" s="12"/>
      <c r="L1332" s="12">
        <f t="shared" si="418"/>
        <v>18082.106</v>
      </c>
      <c r="M1332" s="12">
        <f t="shared" si="415"/>
        <v>437.61147144240078</v>
      </c>
      <c r="N1332" s="12" t="e">
        <f t="shared" si="419"/>
        <v>#REF!</v>
      </c>
      <c r="O1332" s="12" t="e">
        <f t="shared" si="420"/>
        <v>#REF!</v>
      </c>
      <c r="P1332" s="12" t="e">
        <f t="shared" si="421"/>
        <v>#REF!</v>
      </c>
    </row>
    <row r="1333" spans="1:16" ht="15.75" hidden="1" x14ac:dyDescent="0.25">
      <c r="A1333" s="15">
        <v>24</v>
      </c>
      <c r="B1333" s="15" t="s">
        <v>1126</v>
      </c>
      <c r="C1333" s="10" t="s">
        <v>1743</v>
      </c>
      <c r="D1333" s="29"/>
      <c r="E1333" s="37" t="s">
        <v>1747</v>
      </c>
      <c r="F1333" s="6"/>
      <c r="G1333" s="37">
        <f t="shared" ref="G1333:L1333" si="422">SUM(G1334:G1359)</f>
        <v>263.26</v>
      </c>
      <c r="H1333" s="37">
        <f>SUM(H1334:H1359)</f>
        <v>0.46200000000000008</v>
      </c>
      <c r="I1333" s="37">
        <f t="shared" si="422"/>
        <v>263.72199999999998</v>
      </c>
      <c r="J1333" s="37">
        <f t="shared" si="422"/>
        <v>144650.81200000001</v>
      </c>
      <c r="K1333" s="37">
        <f t="shared" si="422"/>
        <v>0</v>
      </c>
      <c r="L1333" s="37">
        <f t="shared" si="422"/>
        <v>144650.81200000001</v>
      </c>
      <c r="M1333" s="37">
        <f t="shared" si="415"/>
        <v>548.4973267304207</v>
      </c>
      <c r="N1333" s="37" t="e">
        <f>M1333/$M$1429</f>
        <v>#REF!</v>
      </c>
      <c r="O1333" s="37" t="e">
        <f>SUM(O1334:O1359)</f>
        <v>#REF!</v>
      </c>
      <c r="P1333" s="37" t="e">
        <f>SUM(P1334:P1359)</f>
        <v>#REF!</v>
      </c>
    </row>
    <row r="1334" spans="1:16" ht="15.75" hidden="1" x14ac:dyDescent="0.25">
      <c r="A1334" s="14">
        <v>24</v>
      </c>
      <c r="B1334" s="14">
        <v>13</v>
      </c>
      <c r="C1334" s="8" t="s">
        <v>1744</v>
      </c>
      <c r="D1334" s="28" t="s">
        <v>2567</v>
      </c>
      <c r="E1334" s="12" t="s">
        <v>62</v>
      </c>
      <c r="F1334" s="1"/>
      <c r="G1334" s="1">
        <v>4.87</v>
      </c>
      <c r="H1334" s="1">
        <v>8.9999999999999993E-3</v>
      </c>
      <c r="I1334" s="12">
        <f t="shared" ref="I1334:I1359" si="423">H1334+G1334</f>
        <v>4.8790000000000004</v>
      </c>
      <c r="J1334" s="12">
        <v>2289.9989999999998</v>
      </c>
      <c r="K1334" s="12"/>
      <c r="L1334" s="12">
        <f t="shared" ref="L1334:L1355" si="424">J1334+K1334</f>
        <v>2289.9989999999998</v>
      </c>
      <c r="M1334" s="12">
        <f t="shared" si="415"/>
        <v>469.35827013732313</v>
      </c>
      <c r="N1334" s="12" t="e">
        <f t="shared" ref="N1334:N1359" si="425">M1334/$M$1433</f>
        <v>#REF!</v>
      </c>
      <c r="O1334" s="12" t="e">
        <f t="shared" ref="O1334:O1359" si="426">ROUND(IF(N1334&lt;110%,0,(M1334-$M$1433*1.1)*0.8)*I1334,1)</f>
        <v>#REF!</v>
      </c>
      <c r="P1334" s="12" t="e">
        <f t="shared" ref="P1334:P1359" si="427">ROUND(IF(N1334&gt;90%,0,(-M1334+$M$1433*0.9)*0.8)*I1334,1)</f>
        <v>#REF!</v>
      </c>
    </row>
    <row r="1335" spans="1:16" ht="15.75" hidden="1" x14ac:dyDescent="0.25">
      <c r="A1335" s="14">
        <v>24</v>
      </c>
      <c r="B1335" s="14">
        <v>14</v>
      </c>
      <c r="C1335" s="8" t="s">
        <v>1744</v>
      </c>
      <c r="D1335" s="28" t="s">
        <v>2568</v>
      </c>
      <c r="E1335" s="12" t="s">
        <v>1805</v>
      </c>
      <c r="F1335" s="1"/>
      <c r="G1335" s="1">
        <v>13.802</v>
      </c>
      <c r="H1335" s="1">
        <v>1.9E-2</v>
      </c>
      <c r="I1335" s="12">
        <f t="shared" si="423"/>
        <v>13.821</v>
      </c>
      <c r="J1335" s="12">
        <v>2699.4690000000001</v>
      </c>
      <c r="K1335" s="12"/>
      <c r="L1335" s="12">
        <f t="shared" si="424"/>
        <v>2699.4690000000001</v>
      </c>
      <c r="M1335" s="12">
        <f t="shared" si="415"/>
        <v>195.31647492945518</v>
      </c>
      <c r="N1335" s="12" t="e">
        <f t="shared" si="425"/>
        <v>#REF!</v>
      </c>
      <c r="O1335" s="12" t="e">
        <f t="shared" si="426"/>
        <v>#REF!</v>
      </c>
      <c r="P1335" s="12" t="e">
        <f t="shared" si="427"/>
        <v>#REF!</v>
      </c>
    </row>
    <row r="1336" spans="1:16" ht="15.75" hidden="1" x14ac:dyDescent="0.25">
      <c r="A1336" s="14">
        <v>24</v>
      </c>
      <c r="B1336" s="14">
        <v>15</v>
      </c>
      <c r="C1336" s="8" t="s">
        <v>1744</v>
      </c>
      <c r="D1336" s="28" t="s">
        <v>63</v>
      </c>
      <c r="E1336" s="12" t="s">
        <v>64</v>
      </c>
      <c r="F1336" s="1"/>
      <c r="G1336" s="1">
        <v>6.1920000000000002</v>
      </c>
      <c r="H1336" s="1">
        <v>8.9999999999999993E-3</v>
      </c>
      <c r="I1336" s="12">
        <f t="shared" si="423"/>
        <v>6.2010000000000005</v>
      </c>
      <c r="J1336" s="12">
        <v>3383.7310000000002</v>
      </c>
      <c r="K1336" s="12"/>
      <c r="L1336" s="12">
        <f t="shared" si="424"/>
        <v>3383.7310000000002</v>
      </c>
      <c r="M1336" s="12">
        <f t="shared" si="415"/>
        <v>545.67505241090146</v>
      </c>
      <c r="N1336" s="12" t="e">
        <f t="shared" si="425"/>
        <v>#REF!</v>
      </c>
      <c r="O1336" s="12" t="e">
        <f t="shared" si="426"/>
        <v>#REF!</v>
      </c>
      <c r="P1336" s="12" t="e">
        <f t="shared" si="427"/>
        <v>#REF!</v>
      </c>
    </row>
    <row r="1337" spans="1:16" ht="15.75" hidden="1" x14ac:dyDescent="0.25">
      <c r="A1337" s="14">
        <v>24</v>
      </c>
      <c r="B1337" s="14">
        <v>16</v>
      </c>
      <c r="C1337" s="8" t="s">
        <v>1744</v>
      </c>
      <c r="D1337" s="28" t="s">
        <v>65</v>
      </c>
      <c r="E1337" s="12" t="s">
        <v>66</v>
      </c>
      <c r="F1337" s="1"/>
      <c r="G1337" s="1">
        <v>10.868</v>
      </c>
      <c r="H1337" s="1">
        <v>7.9000000000000001E-2</v>
      </c>
      <c r="I1337" s="12">
        <f t="shared" si="423"/>
        <v>10.947000000000001</v>
      </c>
      <c r="J1337" s="12">
        <v>10843.629000000001</v>
      </c>
      <c r="K1337" s="12"/>
      <c r="L1337" s="12">
        <f t="shared" si="424"/>
        <v>10843.629000000001</v>
      </c>
      <c r="M1337" s="12">
        <f t="shared" si="415"/>
        <v>990.55713894217592</v>
      </c>
      <c r="N1337" s="12" t="e">
        <f t="shared" si="425"/>
        <v>#REF!</v>
      </c>
      <c r="O1337" s="12" t="e">
        <f t="shared" si="426"/>
        <v>#REF!</v>
      </c>
      <c r="P1337" s="12" t="e">
        <f t="shared" si="427"/>
        <v>#REF!</v>
      </c>
    </row>
    <row r="1338" spans="1:16" ht="15.75" hidden="1" x14ac:dyDescent="0.25">
      <c r="A1338" s="14">
        <v>24</v>
      </c>
      <c r="B1338" s="14">
        <v>17</v>
      </c>
      <c r="C1338" s="8" t="s">
        <v>1744</v>
      </c>
      <c r="D1338" s="28" t="s">
        <v>67</v>
      </c>
      <c r="E1338" s="12" t="s">
        <v>68</v>
      </c>
      <c r="F1338" s="1"/>
      <c r="G1338" s="1">
        <v>7.109</v>
      </c>
      <c r="H1338" s="1">
        <v>5.0000000000000001E-3</v>
      </c>
      <c r="I1338" s="12">
        <f t="shared" si="423"/>
        <v>7.1139999999999999</v>
      </c>
      <c r="J1338" s="12">
        <v>2531.127</v>
      </c>
      <c r="K1338" s="12"/>
      <c r="L1338" s="12">
        <f t="shared" si="424"/>
        <v>2531.127</v>
      </c>
      <c r="M1338" s="12">
        <f t="shared" si="415"/>
        <v>355.79519257801519</v>
      </c>
      <c r="N1338" s="12" t="e">
        <f t="shared" si="425"/>
        <v>#REF!</v>
      </c>
      <c r="O1338" s="12" t="e">
        <f t="shared" si="426"/>
        <v>#REF!</v>
      </c>
      <c r="P1338" s="12" t="e">
        <f t="shared" si="427"/>
        <v>#REF!</v>
      </c>
    </row>
    <row r="1339" spans="1:16" ht="15.75" hidden="1" x14ac:dyDescent="0.25">
      <c r="A1339" s="14">
        <v>24</v>
      </c>
      <c r="B1339" s="14">
        <v>18</v>
      </c>
      <c r="C1339" s="8" t="s">
        <v>1744</v>
      </c>
      <c r="D1339" s="28" t="s">
        <v>69</v>
      </c>
      <c r="E1339" s="12" t="s">
        <v>70</v>
      </c>
      <c r="F1339" s="1"/>
      <c r="G1339" s="1">
        <v>12.115</v>
      </c>
      <c r="H1339" s="1">
        <v>0.01</v>
      </c>
      <c r="I1339" s="12">
        <f t="shared" si="423"/>
        <v>12.125</v>
      </c>
      <c r="J1339" s="12">
        <v>5538.3429999999998</v>
      </c>
      <c r="K1339" s="12"/>
      <c r="L1339" s="12">
        <f t="shared" si="424"/>
        <v>5538.3429999999998</v>
      </c>
      <c r="M1339" s="12">
        <f t="shared" si="415"/>
        <v>456.7705567010309</v>
      </c>
      <c r="N1339" s="12" t="e">
        <f t="shared" si="425"/>
        <v>#REF!</v>
      </c>
      <c r="O1339" s="12" t="e">
        <f t="shared" si="426"/>
        <v>#REF!</v>
      </c>
      <c r="P1339" s="12" t="e">
        <f t="shared" si="427"/>
        <v>#REF!</v>
      </c>
    </row>
    <row r="1340" spans="1:16" ht="15.75" hidden="1" x14ac:dyDescent="0.25">
      <c r="A1340" s="14">
        <v>24</v>
      </c>
      <c r="B1340" s="14">
        <v>19</v>
      </c>
      <c r="C1340" s="8" t="s">
        <v>1744</v>
      </c>
      <c r="D1340" s="28" t="s">
        <v>71</v>
      </c>
      <c r="E1340" s="12" t="s">
        <v>72</v>
      </c>
      <c r="F1340" s="1"/>
      <c r="G1340" s="1">
        <v>7.0549999999999997</v>
      </c>
      <c r="H1340" s="1">
        <v>1.2999999999999999E-2</v>
      </c>
      <c r="I1340" s="12">
        <f t="shared" si="423"/>
        <v>7.0679999999999996</v>
      </c>
      <c r="J1340" s="12">
        <v>1821.3889999999999</v>
      </c>
      <c r="K1340" s="12"/>
      <c r="L1340" s="12">
        <f t="shared" si="424"/>
        <v>1821.3889999999999</v>
      </c>
      <c r="M1340" s="12">
        <f t="shared" si="415"/>
        <v>257.69510469722695</v>
      </c>
      <c r="N1340" s="12" t="e">
        <f t="shared" si="425"/>
        <v>#REF!</v>
      </c>
      <c r="O1340" s="12" t="e">
        <f t="shared" si="426"/>
        <v>#REF!</v>
      </c>
      <c r="P1340" s="12" t="e">
        <f t="shared" si="427"/>
        <v>#REF!</v>
      </c>
    </row>
    <row r="1341" spans="1:16" ht="15.75" hidden="1" x14ac:dyDescent="0.25">
      <c r="A1341" s="14">
        <v>24</v>
      </c>
      <c r="B1341" s="14">
        <v>20</v>
      </c>
      <c r="C1341" s="8" t="s">
        <v>1744</v>
      </c>
      <c r="D1341" s="28" t="s">
        <v>73</v>
      </c>
      <c r="E1341" s="12" t="s">
        <v>1806</v>
      </c>
      <c r="F1341" s="1"/>
      <c r="G1341" s="1">
        <v>6.7779999999999996</v>
      </c>
      <c r="H1341" s="1">
        <v>5.0000000000000001E-3</v>
      </c>
      <c r="I1341" s="12">
        <f t="shared" si="423"/>
        <v>6.7829999999999995</v>
      </c>
      <c r="J1341" s="12">
        <v>1357.501</v>
      </c>
      <c r="K1341" s="12"/>
      <c r="L1341" s="12">
        <f t="shared" si="424"/>
        <v>1357.501</v>
      </c>
      <c r="M1341" s="12">
        <f t="shared" si="415"/>
        <v>200.1328320802005</v>
      </c>
      <c r="N1341" s="12" t="e">
        <f t="shared" si="425"/>
        <v>#REF!</v>
      </c>
      <c r="O1341" s="12" t="e">
        <f t="shared" si="426"/>
        <v>#REF!</v>
      </c>
      <c r="P1341" s="12" t="e">
        <f t="shared" si="427"/>
        <v>#REF!</v>
      </c>
    </row>
    <row r="1342" spans="1:16" ht="15.75" hidden="1" x14ac:dyDescent="0.25">
      <c r="A1342" s="14">
        <v>24</v>
      </c>
      <c r="B1342" s="14">
        <v>21</v>
      </c>
      <c r="C1342" s="8" t="s">
        <v>1744</v>
      </c>
      <c r="D1342" s="28" t="s">
        <v>74</v>
      </c>
      <c r="E1342" s="12" t="s">
        <v>75</v>
      </c>
      <c r="F1342" s="1"/>
      <c r="G1342" s="1">
        <v>11.125</v>
      </c>
      <c r="H1342" s="1">
        <v>1.2E-2</v>
      </c>
      <c r="I1342" s="12">
        <f t="shared" si="423"/>
        <v>11.137</v>
      </c>
      <c r="J1342" s="12">
        <v>10570.594999999999</v>
      </c>
      <c r="K1342" s="12"/>
      <c r="L1342" s="12">
        <f t="shared" si="424"/>
        <v>10570.594999999999</v>
      </c>
      <c r="M1342" s="12">
        <f t="shared" si="415"/>
        <v>949.14204902576989</v>
      </c>
      <c r="N1342" s="12" t="e">
        <f t="shared" si="425"/>
        <v>#REF!</v>
      </c>
      <c r="O1342" s="12" t="e">
        <f t="shared" si="426"/>
        <v>#REF!</v>
      </c>
      <c r="P1342" s="12" t="e">
        <f t="shared" si="427"/>
        <v>#REF!</v>
      </c>
    </row>
    <row r="1343" spans="1:16" ht="15.75" hidden="1" x14ac:dyDescent="0.25">
      <c r="A1343" s="14">
        <v>24</v>
      </c>
      <c r="B1343" s="14">
        <v>22</v>
      </c>
      <c r="C1343" s="8" t="s">
        <v>1744</v>
      </c>
      <c r="D1343" s="28" t="s">
        <v>76</v>
      </c>
      <c r="E1343" s="12" t="s">
        <v>77</v>
      </c>
      <c r="F1343" s="1"/>
      <c r="G1343" s="1">
        <v>2.2360000000000002</v>
      </c>
      <c r="H1343" s="1">
        <v>3.0000000000000001E-3</v>
      </c>
      <c r="I1343" s="12">
        <f t="shared" si="423"/>
        <v>2.2390000000000003</v>
      </c>
      <c r="J1343" s="12">
        <v>1750.5239999999999</v>
      </c>
      <c r="K1343" s="12"/>
      <c r="L1343" s="12">
        <f t="shared" si="424"/>
        <v>1750.5239999999999</v>
      </c>
      <c r="M1343" s="12">
        <f t="shared" si="415"/>
        <v>781.83296114336736</v>
      </c>
      <c r="N1343" s="12" t="e">
        <f t="shared" si="425"/>
        <v>#REF!</v>
      </c>
      <c r="O1343" s="12" t="e">
        <f t="shared" si="426"/>
        <v>#REF!</v>
      </c>
      <c r="P1343" s="12" t="e">
        <f t="shared" si="427"/>
        <v>#REF!</v>
      </c>
    </row>
    <row r="1344" spans="1:16" ht="15.75" hidden="1" x14ac:dyDescent="0.25">
      <c r="A1344" s="14">
        <v>24</v>
      </c>
      <c r="B1344" s="14">
        <v>23</v>
      </c>
      <c r="C1344" s="8" t="s">
        <v>1744</v>
      </c>
      <c r="D1344" s="28" t="s">
        <v>472</v>
      </c>
      <c r="E1344" s="12" t="s">
        <v>473</v>
      </c>
      <c r="F1344" s="1"/>
      <c r="G1344" s="1">
        <v>11.581</v>
      </c>
      <c r="H1344" s="1">
        <v>3.4000000000000002E-2</v>
      </c>
      <c r="I1344" s="12">
        <f t="shared" si="423"/>
        <v>11.615</v>
      </c>
      <c r="J1344" s="12">
        <v>3754.6750000000002</v>
      </c>
      <c r="K1344" s="12"/>
      <c r="L1344" s="12">
        <f t="shared" si="424"/>
        <v>3754.6750000000002</v>
      </c>
      <c r="M1344" s="12">
        <f t="shared" si="415"/>
        <v>323.26086956521738</v>
      </c>
      <c r="N1344" s="12" t="e">
        <f t="shared" si="425"/>
        <v>#REF!</v>
      </c>
      <c r="O1344" s="12" t="e">
        <f t="shared" si="426"/>
        <v>#REF!</v>
      </c>
      <c r="P1344" s="12" t="e">
        <f t="shared" si="427"/>
        <v>#REF!</v>
      </c>
    </row>
    <row r="1345" spans="1:16" ht="15.75" hidden="1" x14ac:dyDescent="0.25">
      <c r="A1345" s="14">
        <v>24</v>
      </c>
      <c r="B1345" s="14">
        <v>24</v>
      </c>
      <c r="C1345" s="8" t="s">
        <v>1744</v>
      </c>
      <c r="D1345" s="28" t="s">
        <v>474</v>
      </c>
      <c r="E1345" s="12" t="s">
        <v>475</v>
      </c>
      <c r="F1345" s="1"/>
      <c r="G1345" s="1">
        <v>17.047999999999998</v>
      </c>
      <c r="H1345" s="1">
        <v>0.06</v>
      </c>
      <c r="I1345" s="12">
        <f t="shared" si="423"/>
        <v>17.107999999999997</v>
      </c>
      <c r="J1345" s="12">
        <v>13166.022999999999</v>
      </c>
      <c r="K1345" s="12"/>
      <c r="L1345" s="12">
        <f t="shared" si="424"/>
        <v>13166.022999999999</v>
      </c>
      <c r="M1345" s="12">
        <f t="shared" si="415"/>
        <v>769.58282674772045</v>
      </c>
      <c r="N1345" s="12" t="e">
        <f t="shared" si="425"/>
        <v>#REF!</v>
      </c>
      <c r="O1345" s="12" t="e">
        <f t="shared" si="426"/>
        <v>#REF!</v>
      </c>
      <c r="P1345" s="12" t="e">
        <f t="shared" si="427"/>
        <v>#REF!</v>
      </c>
    </row>
    <row r="1346" spans="1:16" ht="15.75" hidden="1" x14ac:dyDescent="0.25">
      <c r="A1346" s="14">
        <v>24</v>
      </c>
      <c r="B1346" s="14">
        <v>25</v>
      </c>
      <c r="C1346" s="8" t="s">
        <v>1744</v>
      </c>
      <c r="D1346" s="28" t="s">
        <v>476</v>
      </c>
      <c r="E1346" s="12" t="s">
        <v>477</v>
      </c>
      <c r="F1346" s="1"/>
      <c r="G1346" s="1">
        <v>38.526000000000003</v>
      </c>
      <c r="H1346" s="1">
        <v>6.4000000000000001E-2</v>
      </c>
      <c r="I1346" s="12">
        <f t="shared" si="423"/>
        <v>38.590000000000003</v>
      </c>
      <c r="J1346" s="67">
        <v>24929.269</v>
      </c>
      <c r="K1346" s="12"/>
      <c r="L1346" s="12">
        <f t="shared" si="424"/>
        <v>24929.269</v>
      </c>
      <c r="M1346" s="12">
        <f t="shared" si="415"/>
        <v>646.00334283493123</v>
      </c>
      <c r="N1346" s="12" t="e">
        <f t="shared" si="425"/>
        <v>#REF!</v>
      </c>
      <c r="O1346" s="12" t="e">
        <f t="shared" si="426"/>
        <v>#REF!</v>
      </c>
      <c r="P1346" s="12" t="e">
        <f t="shared" si="427"/>
        <v>#REF!</v>
      </c>
    </row>
    <row r="1347" spans="1:16" ht="15.75" hidden="1" x14ac:dyDescent="0.25">
      <c r="A1347" s="14">
        <v>24</v>
      </c>
      <c r="B1347" s="14">
        <v>26</v>
      </c>
      <c r="C1347" s="8" t="s">
        <v>1744</v>
      </c>
      <c r="D1347" s="28" t="s">
        <v>478</v>
      </c>
      <c r="E1347" s="12" t="s">
        <v>479</v>
      </c>
      <c r="F1347" s="1"/>
      <c r="G1347" s="1">
        <v>11.041</v>
      </c>
      <c r="H1347" s="1">
        <v>6.0000000000000001E-3</v>
      </c>
      <c r="I1347" s="12">
        <f t="shared" si="423"/>
        <v>11.047000000000001</v>
      </c>
      <c r="J1347" s="12">
        <v>2522.3229999999999</v>
      </c>
      <c r="K1347" s="12"/>
      <c r="L1347" s="12">
        <f t="shared" si="424"/>
        <v>2522.3229999999999</v>
      </c>
      <c r="M1347" s="12">
        <f t="shared" si="415"/>
        <v>228.32651398569746</v>
      </c>
      <c r="N1347" s="12" t="e">
        <f t="shared" si="425"/>
        <v>#REF!</v>
      </c>
      <c r="O1347" s="12" t="e">
        <f t="shared" si="426"/>
        <v>#REF!</v>
      </c>
      <c r="P1347" s="12" t="e">
        <f t="shared" si="427"/>
        <v>#REF!</v>
      </c>
    </row>
    <row r="1348" spans="1:16" ht="15.75" hidden="1" x14ac:dyDescent="0.25">
      <c r="A1348" s="14">
        <v>24</v>
      </c>
      <c r="B1348" s="14">
        <v>27</v>
      </c>
      <c r="C1348" s="8" t="s">
        <v>1744</v>
      </c>
      <c r="D1348" s="28" t="s">
        <v>480</v>
      </c>
      <c r="E1348" s="12" t="s">
        <v>481</v>
      </c>
      <c r="F1348" s="1"/>
      <c r="G1348" s="1">
        <v>5.3620000000000001</v>
      </c>
      <c r="H1348" s="1">
        <v>5.0000000000000001E-3</v>
      </c>
      <c r="I1348" s="12">
        <f t="shared" si="423"/>
        <v>5.367</v>
      </c>
      <c r="J1348" s="12">
        <v>2838.567</v>
      </c>
      <c r="K1348" s="12"/>
      <c r="L1348" s="12">
        <f t="shared" si="424"/>
        <v>2838.567</v>
      </c>
      <c r="M1348" s="12">
        <f t="shared" si="415"/>
        <v>528.89267747344888</v>
      </c>
      <c r="N1348" s="12" t="e">
        <f t="shared" si="425"/>
        <v>#REF!</v>
      </c>
      <c r="O1348" s="12" t="e">
        <f t="shared" si="426"/>
        <v>#REF!</v>
      </c>
      <c r="P1348" s="12" t="e">
        <f t="shared" si="427"/>
        <v>#REF!</v>
      </c>
    </row>
    <row r="1349" spans="1:16" ht="15.75" hidden="1" x14ac:dyDescent="0.25">
      <c r="A1349" s="14">
        <v>24</v>
      </c>
      <c r="B1349" s="14">
        <v>28</v>
      </c>
      <c r="C1349" s="8" t="s">
        <v>1744</v>
      </c>
      <c r="D1349" s="28" t="s">
        <v>482</v>
      </c>
      <c r="E1349" s="12" t="s">
        <v>483</v>
      </c>
      <c r="F1349" s="1"/>
      <c r="G1349" s="1">
        <v>11.446</v>
      </c>
      <c r="H1349" s="1">
        <v>7.0000000000000001E-3</v>
      </c>
      <c r="I1349" s="12">
        <f t="shared" si="423"/>
        <v>11.452999999999999</v>
      </c>
      <c r="J1349" s="12">
        <v>3036.3220000000001</v>
      </c>
      <c r="K1349" s="12"/>
      <c r="L1349" s="12">
        <f t="shared" si="424"/>
        <v>3036.3220000000001</v>
      </c>
      <c r="M1349" s="12">
        <f t="shared" si="415"/>
        <v>265.11149917052302</v>
      </c>
      <c r="N1349" s="12" t="e">
        <f t="shared" si="425"/>
        <v>#REF!</v>
      </c>
      <c r="O1349" s="12" t="e">
        <f t="shared" si="426"/>
        <v>#REF!</v>
      </c>
      <c r="P1349" s="12" t="e">
        <f t="shared" si="427"/>
        <v>#REF!</v>
      </c>
    </row>
    <row r="1350" spans="1:16" ht="15.75" hidden="1" x14ac:dyDescent="0.25">
      <c r="A1350" s="14">
        <v>24</v>
      </c>
      <c r="B1350" s="14">
        <v>29</v>
      </c>
      <c r="C1350" s="8" t="s">
        <v>1744</v>
      </c>
      <c r="D1350" s="28" t="s">
        <v>570</v>
      </c>
      <c r="E1350" s="42" t="s">
        <v>991</v>
      </c>
      <c r="F1350" s="43"/>
      <c r="G1350" s="43">
        <v>4.8129999999999997</v>
      </c>
      <c r="H1350" s="43">
        <v>7.0000000000000001E-3</v>
      </c>
      <c r="I1350" s="12">
        <f t="shared" si="423"/>
        <v>4.8199999999999994</v>
      </c>
      <c r="J1350" s="42">
        <v>1529.998</v>
      </c>
      <c r="K1350" s="42"/>
      <c r="L1350" s="42">
        <f t="shared" si="424"/>
        <v>1529.998</v>
      </c>
      <c r="M1350" s="42">
        <f t="shared" si="415"/>
        <v>317.42697095435688</v>
      </c>
      <c r="N1350" s="12" t="e">
        <f t="shared" si="425"/>
        <v>#REF!</v>
      </c>
      <c r="O1350" s="12" t="e">
        <f t="shared" si="426"/>
        <v>#REF!</v>
      </c>
      <c r="P1350" s="12" t="e">
        <f t="shared" si="427"/>
        <v>#REF!</v>
      </c>
    </row>
    <row r="1351" spans="1:16" ht="15.75" hidden="1" x14ac:dyDescent="0.25">
      <c r="A1351" s="14">
        <v>24</v>
      </c>
      <c r="B1351" s="14">
        <v>30</v>
      </c>
      <c r="C1351" s="8" t="s">
        <v>1744</v>
      </c>
      <c r="D1351" s="28" t="s">
        <v>571</v>
      </c>
      <c r="E1351" s="42" t="s">
        <v>992</v>
      </c>
      <c r="F1351" s="43"/>
      <c r="G1351" s="43">
        <v>4.7279999999999998</v>
      </c>
      <c r="H1351" s="43">
        <v>1E-3</v>
      </c>
      <c r="I1351" s="12">
        <f t="shared" si="423"/>
        <v>4.7290000000000001</v>
      </c>
      <c r="J1351" s="42">
        <v>2660.3919999999998</v>
      </c>
      <c r="K1351" s="42"/>
      <c r="L1351" s="42">
        <f t="shared" si="424"/>
        <v>2660.3919999999998</v>
      </c>
      <c r="M1351" s="42">
        <f t="shared" si="415"/>
        <v>562.56967646436874</v>
      </c>
      <c r="N1351" s="12" t="e">
        <f t="shared" si="425"/>
        <v>#REF!</v>
      </c>
      <c r="O1351" s="12" t="e">
        <f t="shared" si="426"/>
        <v>#REF!</v>
      </c>
      <c r="P1351" s="12" t="e">
        <f t="shared" si="427"/>
        <v>#REF!</v>
      </c>
    </row>
    <row r="1352" spans="1:16" ht="15.75" hidden="1" x14ac:dyDescent="0.25">
      <c r="A1352" s="49">
        <v>24</v>
      </c>
      <c r="B1352" s="49">
        <v>31</v>
      </c>
      <c r="C1352" s="50" t="s">
        <v>1744</v>
      </c>
      <c r="D1352" s="51" t="s">
        <v>993</v>
      </c>
      <c r="E1352" s="52" t="s">
        <v>994</v>
      </c>
      <c r="F1352" s="53"/>
      <c r="G1352" s="53">
        <v>11.526999999999999</v>
      </c>
      <c r="H1352" s="53">
        <v>1.0999999999999999E-2</v>
      </c>
      <c r="I1352" s="12">
        <f t="shared" si="423"/>
        <v>11.537999999999998</v>
      </c>
      <c r="J1352" s="52">
        <v>3894.4549999999999</v>
      </c>
      <c r="K1352" s="52"/>
      <c r="L1352" s="52">
        <f t="shared" si="424"/>
        <v>3894.4549999999999</v>
      </c>
      <c r="M1352" s="52">
        <f t="shared" si="415"/>
        <v>337.53293465071943</v>
      </c>
      <c r="N1352" s="12" t="e">
        <f t="shared" si="425"/>
        <v>#REF!</v>
      </c>
      <c r="O1352" s="12" t="e">
        <f t="shared" si="426"/>
        <v>#REF!</v>
      </c>
      <c r="P1352" s="12" t="e">
        <f t="shared" si="427"/>
        <v>#REF!</v>
      </c>
    </row>
    <row r="1353" spans="1:16" ht="15.75" hidden="1" x14ac:dyDescent="0.25">
      <c r="A1353" s="49">
        <v>24</v>
      </c>
      <c r="B1353" s="49">
        <v>32</v>
      </c>
      <c r="C1353" s="50" t="s">
        <v>1744</v>
      </c>
      <c r="D1353" s="51" t="s">
        <v>995</v>
      </c>
      <c r="E1353" s="52" t="s">
        <v>996</v>
      </c>
      <c r="F1353" s="53"/>
      <c r="G1353" s="53">
        <v>10.395</v>
      </c>
      <c r="H1353" s="53">
        <v>2.3E-2</v>
      </c>
      <c r="I1353" s="12">
        <f t="shared" si="423"/>
        <v>10.417999999999999</v>
      </c>
      <c r="J1353" s="52">
        <v>3643.5410000000002</v>
      </c>
      <c r="K1353" s="52"/>
      <c r="L1353" s="52">
        <f t="shared" si="424"/>
        <v>3643.5410000000002</v>
      </c>
      <c r="M1353" s="52">
        <f t="shared" si="415"/>
        <v>349.73516989825305</v>
      </c>
      <c r="N1353" s="12" t="e">
        <f t="shared" si="425"/>
        <v>#REF!</v>
      </c>
      <c r="O1353" s="12" t="e">
        <f t="shared" si="426"/>
        <v>#REF!</v>
      </c>
      <c r="P1353" s="12" t="e">
        <f t="shared" si="427"/>
        <v>#REF!</v>
      </c>
    </row>
    <row r="1354" spans="1:16" ht="15.75" hidden="1" x14ac:dyDescent="0.25">
      <c r="A1354" s="49">
        <v>24</v>
      </c>
      <c r="B1354" s="49">
        <v>33</v>
      </c>
      <c r="C1354" s="50" t="s">
        <v>1744</v>
      </c>
      <c r="D1354" s="51" t="s">
        <v>997</v>
      </c>
      <c r="E1354" s="52" t="s">
        <v>998</v>
      </c>
      <c r="F1354" s="53"/>
      <c r="G1354" s="53">
        <v>9.11</v>
      </c>
      <c r="H1354" s="53">
        <v>1.7000000000000001E-2</v>
      </c>
      <c r="I1354" s="12">
        <f t="shared" si="423"/>
        <v>9.1269999999999989</v>
      </c>
      <c r="J1354" s="52">
        <v>17367.435000000001</v>
      </c>
      <c r="K1354" s="52"/>
      <c r="L1354" s="52">
        <f t="shared" si="424"/>
        <v>17367.435000000001</v>
      </c>
      <c r="M1354" s="52">
        <f t="shared" si="415"/>
        <v>1902.8634819765534</v>
      </c>
      <c r="N1354" s="12" t="e">
        <f t="shared" si="425"/>
        <v>#REF!</v>
      </c>
      <c r="O1354" s="12" t="e">
        <f t="shared" si="426"/>
        <v>#REF!</v>
      </c>
      <c r="P1354" s="12" t="e">
        <f t="shared" si="427"/>
        <v>#REF!</v>
      </c>
    </row>
    <row r="1355" spans="1:16" ht="15.75" hidden="1" x14ac:dyDescent="0.25">
      <c r="A1355" s="49">
        <v>24</v>
      </c>
      <c r="B1355" s="49">
        <v>34</v>
      </c>
      <c r="C1355" s="50" t="s">
        <v>1744</v>
      </c>
      <c r="D1355" s="51" t="s">
        <v>999</v>
      </c>
      <c r="E1355" s="52" t="s">
        <v>1000</v>
      </c>
      <c r="F1355" s="53"/>
      <c r="G1355" s="53">
        <v>9.7010000000000005</v>
      </c>
      <c r="H1355" s="53">
        <v>6.0000000000000001E-3</v>
      </c>
      <c r="I1355" s="12">
        <f t="shared" si="423"/>
        <v>9.7070000000000007</v>
      </c>
      <c r="J1355" s="52">
        <v>2280.7449999999999</v>
      </c>
      <c r="K1355" s="52"/>
      <c r="L1355" s="52">
        <f t="shared" si="424"/>
        <v>2280.7449999999999</v>
      </c>
      <c r="M1355" s="52">
        <f t="shared" si="415"/>
        <v>234.95879262387965</v>
      </c>
      <c r="N1355" s="12" t="e">
        <f t="shared" si="425"/>
        <v>#REF!</v>
      </c>
      <c r="O1355" s="12" t="e">
        <f t="shared" si="426"/>
        <v>#REF!</v>
      </c>
      <c r="P1355" s="12" t="e">
        <f t="shared" si="427"/>
        <v>#REF!</v>
      </c>
    </row>
    <row r="1356" spans="1:16" ht="18.75" hidden="1" x14ac:dyDescent="0.3">
      <c r="A1356" s="49">
        <v>24</v>
      </c>
      <c r="B1356" s="49">
        <v>35</v>
      </c>
      <c r="C1356" s="12" t="s">
        <v>1744</v>
      </c>
      <c r="D1356" s="61" t="s">
        <v>25</v>
      </c>
      <c r="E1356" s="63" t="s">
        <v>26</v>
      </c>
      <c r="F1356" s="53"/>
      <c r="G1356" s="53">
        <v>3.2450000000000001</v>
      </c>
      <c r="H1356" s="53">
        <v>1E-3</v>
      </c>
      <c r="I1356" s="12">
        <f t="shared" si="423"/>
        <v>3.246</v>
      </c>
      <c r="J1356" s="52">
        <v>1257.412</v>
      </c>
      <c r="K1356" s="52"/>
      <c r="L1356" s="52">
        <f>J1356+K1356</f>
        <v>1257.412</v>
      </c>
      <c r="M1356" s="52">
        <f>L1356/I1356</f>
        <v>387.37276648182382</v>
      </c>
      <c r="N1356" s="12" t="e">
        <f t="shared" si="425"/>
        <v>#REF!</v>
      </c>
      <c r="O1356" s="12" t="e">
        <f t="shared" si="426"/>
        <v>#REF!</v>
      </c>
      <c r="P1356" s="12" t="e">
        <f t="shared" si="427"/>
        <v>#REF!</v>
      </c>
    </row>
    <row r="1357" spans="1:16" ht="18.75" hidden="1" x14ac:dyDescent="0.3">
      <c r="A1357" s="49">
        <v>24</v>
      </c>
      <c r="B1357" s="49">
        <v>36</v>
      </c>
      <c r="C1357" s="12" t="s">
        <v>1744</v>
      </c>
      <c r="D1357" s="61" t="s">
        <v>27</v>
      </c>
      <c r="E1357" s="63" t="s">
        <v>28</v>
      </c>
      <c r="F1357" s="53"/>
      <c r="G1357" s="53">
        <v>9.5380000000000003</v>
      </c>
      <c r="H1357" s="53">
        <v>3.0000000000000001E-3</v>
      </c>
      <c r="I1357" s="12">
        <f t="shared" si="423"/>
        <v>9.5410000000000004</v>
      </c>
      <c r="J1357" s="52">
        <v>2820.09</v>
      </c>
      <c r="K1357" s="52"/>
      <c r="L1357" s="52">
        <f>J1357+K1357</f>
        <v>2820.09</v>
      </c>
      <c r="M1357" s="52">
        <f>L1357/I1357</f>
        <v>295.57593543653707</v>
      </c>
      <c r="N1357" s="12" t="e">
        <f t="shared" si="425"/>
        <v>#REF!</v>
      </c>
      <c r="O1357" s="12" t="e">
        <f t="shared" si="426"/>
        <v>#REF!</v>
      </c>
      <c r="P1357" s="12" t="e">
        <f t="shared" si="427"/>
        <v>#REF!</v>
      </c>
    </row>
    <row r="1358" spans="1:16" ht="18.75" hidden="1" x14ac:dyDescent="0.3">
      <c r="A1358" s="49">
        <v>24</v>
      </c>
      <c r="B1358" s="49">
        <v>37</v>
      </c>
      <c r="C1358" s="12" t="s">
        <v>1744</v>
      </c>
      <c r="D1358" s="61" t="s">
        <v>29</v>
      </c>
      <c r="E1358" s="63" t="s">
        <v>30</v>
      </c>
      <c r="F1358" s="53"/>
      <c r="G1358" s="53">
        <v>4.4290000000000003</v>
      </c>
      <c r="H1358" s="53">
        <v>1.7000000000000001E-2</v>
      </c>
      <c r="I1358" s="12">
        <f t="shared" si="423"/>
        <v>4.4460000000000006</v>
      </c>
      <c r="J1358" s="52">
        <v>2085.277</v>
      </c>
      <c r="K1358" s="52"/>
      <c r="L1358" s="52">
        <f>J1358+K1358</f>
        <v>2085.277</v>
      </c>
      <c r="M1358" s="52">
        <f>L1358/I1358</f>
        <v>469.02316689158789</v>
      </c>
      <c r="N1358" s="12" t="e">
        <f t="shared" si="425"/>
        <v>#REF!</v>
      </c>
      <c r="O1358" s="12" t="e">
        <f t="shared" si="426"/>
        <v>#REF!</v>
      </c>
      <c r="P1358" s="12" t="e">
        <f t="shared" si="427"/>
        <v>#REF!</v>
      </c>
    </row>
    <row r="1359" spans="1:16" ht="18.75" hidden="1" x14ac:dyDescent="0.3">
      <c r="A1359" s="49">
        <v>24</v>
      </c>
      <c r="B1359" s="49">
        <v>38</v>
      </c>
      <c r="C1359" s="12" t="s">
        <v>1744</v>
      </c>
      <c r="D1359" s="61" t="s">
        <v>31</v>
      </c>
      <c r="E1359" s="63" t="s">
        <v>32</v>
      </c>
      <c r="F1359" s="53"/>
      <c r="G1359" s="53">
        <v>18.62</v>
      </c>
      <c r="H1359" s="53">
        <v>3.5999999999999997E-2</v>
      </c>
      <c r="I1359" s="12">
        <f t="shared" si="423"/>
        <v>18.656000000000002</v>
      </c>
      <c r="J1359" s="52">
        <v>14077.981</v>
      </c>
      <c r="K1359" s="52"/>
      <c r="L1359" s="52">
        <f>J1359+K1359</f>
        <v>14077.981</v>
      </c>
      <c r="M1359" s="52">
        <f>L1359/I1359</f>
        <v>754.60875857632925</v>
      </c>
      <c r="N1359" s="12" t="e">
        <f t="shared" si="425"/>
        <v>#REF!</v>
      </c>
      <c r="O1359" s="12" t="e">
        <f t="shared" si="426"/>
        <v>#REF!</v>
      </c>
      <c r="P1359" s="12" t="e">
        <f t="shared" si="427"/>
        <v>#REF!</v>
      </c>
    </row>
    <row r="1360" spans="1:16" s="75" customFormat="1" ht="15.75" hidden="1" x14ac:dyDescent="0.25">
      <c r="A1360" s="72">
        <v>25</v>
      </c>
      <c r="B1360" s="72" t="s">
        <v>1126</v>
      </c>
      <c r="C1360" s="73" t="s">
        <v>1161</v>
      </c>
      <c r="D1360" s="74"/>
      <c r="E1360" s="71" t="s">
        <v>1738</v>
      </c>
      <c r="F1360" s="76"/>
      <c r="G1360" s="71">
        <f t="shared" ref="G1360:L1360" si="428">G1361+G1362+G1367+G1390</f>
        <v>1033.412</v>
      </c>
      <c r="H1360" s="71">
        <f t="shared" si="428"/>
        <v>9.1150000000000002</v>
      </c>
      <c r="I1360" s="71">
        <f t="shared" si="428"/>
        <v>1042.5269999999998</v>
      </c>
      <c r="J1360" s="71">
        <f t="shared" si="428"/>
        <v>1412575.78449</v>
      </c>
      <c r="K1360" s="71">
        <f t="shared" si="428"/>
        <v>0</v>
      </c>
      <c r="L1360" s="71">
        <f t="shared" si="428"/>
        <v>1412575.78449</v>
      </c>
      <c r="M1360" s="71">
        <f>L1360/I1360</f>
        <v>1354.9536697754593</v>
      </c>
      <c r="N1360" s="71" t="e">
        <f>M1360/$M$1429</f>
        <v>#REF!</v>
      </c>
      <c r="O1360" s="71" t="e">
        <f>O1361+O1362+O1367+O1390</f>
        <v>#REF!</v>
      </c>
      <c r="P1360" s="71" t="e">
        <f>P1361+P1362+P1367+P1390</f>
        <v>#REF!</v>
      </c>
    </row>
    <row r="1361" spans="1:16" ht="15.75" hidden="1" x14ac:dyDescent="0.25">
      <c r="A1361" s="14">
        <v>25</v>
      </c>
      <c r="B1361" s="14" t="s">
        <v>1126</v>
      </c>
      <c r="C1361" s="8" t="s">
        <v>1159</v>
      </c>
      <c r="D1361" s="28" t="s">
        <v>2569</v>
      </c>
      <c r="E1361" s="12" t="s">
        <v>1160</v>
      </c>
      <c r="F1361" s="1"/>
      <c r="G1361" s="1">
        <v>0</v>
      </c>
      <c r="H1361" s="1">
        <v>0</v>
      </c>
      <c r="I1361" s="12">
        <f>H1361+G1361</f>
        <v>0</v>
      </c>
      <c r="J1361" s="12"/>
      <c r="K1361" s="12"/>
      <c r="L1361" s="12"/>
      <c r="M1361" s="12"/>
      <c r="N1361" s="12"/>
      <c r="O1361" s="12"/>
      <c r="P1361" s="12"/>
    </row>
    <row r="1362" spans="1:16" ht="15.75" hidden="1" x14ac:dyDescent="0.25">
      <c r="A1362" s="15">
        <v>25</v>
      </c>
      <c r="B1362" s="15" t="s">
        <v>1126</v>
      </c>
      <c r="C1362" s="10" t="s">
        <v>1127</v>
      </c>
      <c r="D1362" s="29"/>
      <c r="E1362" s="37" t="s">
        <v>1128</v>
      </c>
      <c r="F1362" s="6"/>
      <c r="G1362" s="37">
        <f t="shared" ref="G1362:L1362" si="429">SUM(G1363:G1366)</f>
        <v>432.50200000000001</v>
      </c>
      <c r="H1362" s="37">
        <f>SUM(H1363:H1366)</f>
        <v>4.516</v>
      </c>
      <c r="I1362" s="37">
        <f t="shared" si="429"/>
        <v>437.01799999999997</v>
      </c>
      <c r="J1362" s="37">
        <f t="shared" si="429"/>
        <v>680998.88219999999</v>
      </c>
      <c r="K1362" s="37">
        <f t="shared" si="429"/>
        <v>0</v>
      </c>
      <c r="L1362" s="37">
        <f t="shared" si="429"/>
        <v>680998.88219999999</v>
      </c>
      <c r="M1362" s="37">
        <f t="shared" ref="M1362:M1388" si="430">L1362/I1362</f>
        <v>1558.2856591719335</v>
      </c>
      <c r="N1362" s="37" t="e">
        <f>M1362/$M$1429</f>
        <v>#REF!</v>
      </c>
      <c r="O1362" s="37" t="e">
        <f>SUM(O1363:O1366)</f>
        <v>#REF!</v>
      </c>
      <c r="P1362" s="37" t="e">
        <f>SUM(P1363:P1366)</f>
        <v>#REF!</v>
      </c>
    </row>
    <row r="1363" spans="1:16" ht="15.75" hidden="1" x14ac:dyDescent="0.25">
      <c r="A1363" s="14">
        <v>25</v>
      </c>
      <c r="B1363" s="14" t="s">
        <v>1811</v>
      </c>
      <c r="C1363" s="8" t="s">
        <v>1119</v>
      </c>
      <c r="D1363" s="28" t="s">
        <v>2570</v>
      </c>
      <c r="E1363" s="12" t="s">
        <v>1715</v>
      </c>
      <c r="F1363" s="1"/>
      <c r="G1363" s="1">
        <v>291.64100000000002</v>
      </c>
      <c r="H1363" s="1">
        <v>3.0659999999999998</v>
      </c>
      <c r="I1363" s="12">
        <f>H1363+G1363</f>
        <v>294.70699999999999</v>
      </c>
      <c r="J1363" s="12">
        <v>471871.53875999997</v>
      </c>
      <c r="K1363" s="12"/>
      <c r="L1363" s="12">
        <f>J1363+K1363</f>
        <v>471871.53875999997</v>
      </c>
      <c r="M1363" s="12">
        <f t="shared" si="430"/>
        <v>1601.1548377201761</v>
      </c>
      <c r="N1363" s="12" t="e">
        <f>M1363/$M$1431</f>
        <v>#REF!</v>
      </c>
      <c r="O1363" s="12" t="e">
        <f>ROUND(IF(N1363&lt;110%,0,(M1363-$M$1431*1.1)*0.8)*I1363,1)</f>
        <v>#REF!</v>
      </c>
      <c r="P1363" s="12" t="e">
        <f>ROUND(IF(N1363&gt;90%,0,(-M1363+$M$1431*0.9)*0.8)*I1363,1)</f>
        <v>#REF!</v>
      </c>
    </row>
    <row r="1364" spans="1:16" ht="15.75" hidden="1" x14ac:dyDescent="0.25">
      <c r="A1364" s="14">
        <v>25</v>
      </c>
      <c r="B1364" s="14" t="s">
        <v>1810</v>
      </c>
      <c r="C1364" s="8" t="s">
        <v>1119</v>
      </c>
      <c r="D1364" s="28" t="s">
        <v>2571</v>
      </c>
      <c r="E1364" s="12" t="s">
        <v>1716</v>
      </c>
      <c r="F1364" s="1"/>
      <c r="G1364" s="1">
        <v>71.078000000000003</v>
      </c>
      <c r="H1364" s="1">
        <v>0.67700000000000005</v>
      </c>
      <c r="I1364" s="12">
        <f>H1364+G1364</f>
        <v>71.75500000000001</v>
      </c>
      <c r="J1364" s="12">
        <v>77341.101359999986</v>
      </c>
      <c r="K1364" s="12"/>
      <c r="L1364" s="12">
        <f>J1364+K1364</f>
        <v>77341.101359999986</v>
      </c>
      <c r="M1364" s="12">
        <f t="shared" si="430"/>
        <v>1077.8496461570619</v>
      </c>
      <c r="N1364" s="12" t="e">
        <f>M1364/$M$1431</f>
        <v>#REF!</v>
      </c>
      <c r="O1364" s="12" t="e">
        <f>ROUND(IF(N1364&lt;110%,0,(M1364-$M$1431*1.1)*0.8)*I1364,1)</f>
        <v>#REF!</v>
      </c>
      <c r="P1364" s="12" t="e">
        <f>ROUND(IF(N1364&gt;90%,0,(-M1364+$M$1431*0.9)*0.8)*I1364,1)</f>
        <v>#REF!</v>
      </c>
    </row>
    <row r="1365" spans="1:16" ht="15.75" hidden="1" x14ac:dyDescent="0.25">
      <c r="A1365" s="14">
        <v>25</v>
      </c>
      <c r="B1365" s="14" t="s">
        <v>1855</v>
      </c>
      <c r="C1365" s="8" t="s">
        <v>1119</v>
      </c>
      <c r="D1365" s="28" t="s">
        <v>2572</v>
      </c>
      <c r="E1365" s="12" t="s">
        <v>1717</v>
      </c>
      <c r="F1365" s="1"/>
      <c r="G1365" s="1">
        <v>56.27</v>
      </c>
      <c r="H1365" s="1">
        <v>0.68700000000000006</v>
      </c>
      <c r="I1365" s="12">
        <f>H1365+G1365</f>
        <v>56.957000000000001</v>
      </c>
      <c r="J1365" s="12">
        <v>114183.75459</v>
      </c>
      <c r="K1365" s="12"/>
      <c r="L1365" s="12">
        <f>J1365+K1365</f>
        <v>114183.75459</v>
      </c>
      <c r="M1365" s="12">
        <f t="shared" si="430"/>
        <v>2004.7361095212177</v>
      </c>
      <c r="N1365" s="12" t="e">
        <f>M1365/$M$1431</f>
        <v>#REF!</v>
      </c>
      <c r="O1365" s="12" t="e">
        <f>ROUND(IF(N1365&lt;110%,0,(M1365-$M$1431*1.1)*0.8)*I1365,1)</f>
        <v>#REF!</v>
      </c>
      <c r="P1365" s="12" t="e">
        <f>ROUND(IF(N1365&gt;90%,0,(-M1365+$M$1431*0.9)*0.8)*I1365,1)</f>
        <v>#REF!</v>
      </c>
    </row>
    <row r="1366" spans="1:16" ht="15.75" hidden="1" x14ac:dyDescent="0.25">
      <c r="A1366" s="14">
        <v>25</v>
      </c>
      <c r="B1366" s="14" t="s">
        <v>1850</v>
      </c>
      <c r="C1366" s="8" t="s">
        <v>1119</v>
      </c>
      <c r="D1366" s="28" t="s">
        <v>2573</v>
      </c>
      <c r="E1366" s="12" t="s">
        <v>1718</v>
      </c>
      <c r="F1366" s="1"/>
      <c r="G1366" s="1">
        <v>13.513</v>
      </c>
      <c r="H1366" s="1">
        <v>8.5999999999999993E-2</v>
      </c>
      <c r="I1366" s="12">
        <f>H1366+G1366</f>
        <v>13.599</v>
      </c>
      <c r="J1366" s="12">
        <v>17602.487490000003</v>
      </c>
      <c r="K1366" s="12"/>
      <c r="L1366" s="12">
        <f>J1366+K1366</f>
        <v>17602.487490000003</v>
      </c>
      <c r="M1366" s="12">
        <f t="shared" si="430"/>
        <v>1294.3957268916834</v>
      </c>
      <c r="N1366" s="12" t="e">
        <f>M1366/$M$1431</f>
        <v>#REF!</v>
      </c>
      <c r="O1366" s="12" t="e">
        <f>ROUND(IF(N1366&lt;110%,0,(M1366-$M$1431*1.1)*0.8)*I1366,1)</f>
        <v>#REF!</v>
      </c>
      <c r="P1366" s="12" t="e">
        <f>ROUND(IF(N1366&gt;90%,0,(-M1366+$M$1431*0.9)*0.8)*I1366,1)</f>
        <v>#REF!</v>
      </c>
    </row>
    <row r="1367" spans="1:16" ht="15.75" hidden="1" x14ac:dyDescent="0.25">
      <c r="A1367" s="15">
        <v>25</v>
      </c>
      <c r="B1367" s="15" t="s">
        <v>1126</v>
      </c>
      <c r="C1367" s="10" t="s">
        <v>1157</v>
      </c>
      <c r="D1367" s="29"/>
      <c r="E1367" s="37" t="s">
        <v>1158</v>
      </c>
      <c r="F1367" s="6"/>
      <c r="G1367" s="37">
        <f t="shared" ref="G1367:L1367" si="431">SUM(G1368:G1389)</f>
        <v>240.50800000000007</v>
      </c>
      <c r="H1367" s="37">
        <f>SUM(H1368:H1389)</f>
        <v>1.9130000000000003</v>
      </c>
      <c r="I1367" s="37">
        <f t="shared" si="431"/>
        <v>242.42100000000002</v>
      </c>
      <c r="J1367" s="37">
        <f t="shared" si="431"/>
        <v>233987.87928000002</v>
      </c>
      <c r="K1367" s="37">
        <f t="shared" si="431"/>
        <v>0</v>
      </c>
      <c r="L1367" s="37">
        <f t="shared" si="431"/>
        <v>233987.87928000002</v>
      </c>
      <c r="M1367" s="37">
        <f t="shared" si="430"/>
        <v>965.21291175269471</v>
      </c>
      <c r="N1367" s="37" t="e">
        <f>M1367/$M$1429</f>
        <v>#REF!</v>
      </c>
      <c r="O1367" s="37" t="e">
        <f>SUM(O1368:O1389)</f>
        <v>#REF!</v>
      </c>
      <c r="P1367" s="37" t="e">
        <f>SUM(P1368:P1389)</f>
        <v>#REF!</v>
      </c>
    </row>
    <row r="1368" spans="1:16" ht="15.75" hidden="1" x14ac:dyDescent="0.25">
      <c r="A1368" s="14">
        <v>25</v>
      </c>
      <c r="B1368" s="14" t="s">
        <v>1818</v>
      </c>
      <c r="C1368" s="8" t="s">
        <v>1129</v>
      </c>
      <c r="D1368" s="28" t="s">
        <v>2574</v>
      </c>
      <c r="E1368" s="12" t="s">
        <v>1719</v>
      </c>
      <c r="F1368" s="1"/>
      <c r="G1368" s="1">
        <v>40.393999999999998</v>
      </c>
      <c r="H1368" s="1">
        <v>0.42599999999999999</v>
      </c>
      <c r="I1368" s="12">
        <f t="shared" ref="I1368:I1389" si="432">H1368+G1368</f>
        <v>40.82</v>
      </c>
      <c r="J1368" s="12">
        <v>55136.323270000001</v>
      </c>
      <c r="K1368" s="12"/>
      <c r="L1368" s="12">
        <f t="shared" ref="L1368:L1388" si="433">J1368+K1368</f>
        <v>55136.323270000001</v>
      </c>
      <c r="M1368" s="12">
        <f t="shared" si="430"/>
        <v>1350.7183554630083</v>
      </c>
      <c r="N1368" s="12" t="e">
        <f t="shared" ref="N1368:N1389" si="434">M1368/$M$1432</f>
        <v>#REF!</v>
      </c>
      <c r="O1368" s="12" t="e">
        <f t="shared" ref="O1368:O1389" si="435">ROUND(IF(N1368&lt;110%,0,(M1368-$M$1432*1.1)*0.8)*I1368,1)</f>
        <v>#REF!</v>
      </c>
      <c r="P1368" s="12" t="e">
        <f t="shared" ref="P1368:P1389" si="436">ROUND(IF(N1368&gt;90%,0,(-M1368+$M$1432*0.9)*0.8)*I1368,1)</f>
        <v>#REF!</v>
      </c>
    </row>
    <row r="1369" spans="1:16" ht="15.75" hidden="1" x14ac:dyDescent="0.25">
      <c r="A1369" s="14">
        <v>25</v>
      </c>
      <c r="B1369" s="14" t="s">
        <v>1820</v>
      </c>
      <c r="C1369" s="8" t="s">
        <v>1129</v>
      </c>
      <c r="D1369" s="28" t="s">
        <v>2575</v>
      </c>
      <c r="E1369" s="12" t="s">
        <v>1720</v>
      </c>
      <c r="F1369" s="1"/>
      <c r="G1369" s="1">
        <v>1.2609999999999999</v>
      </c>
      <c r="H1369" s="1">
        <v>8.9999999999999993E-3</v>
      </c>
      <c r="I1369" s="12">
        <f t="shared" si="432"/>
        <v>1.2699999999999998</v>
      </c>
      <c r="J1369" s="12">
        <f>47537.78206-35996.286-9328.836</f>
        <v>2212.6600599999983</v>
      </c>
      <c r="K1369" s="12"/>
      <c r="L1369" s="12">
        <f t="shared" si="433"/>
        <v>2212.6600599999983</v>
      </c>
      <c r="M1369" s="12">
        <f t="shared" si="430"/>
        <v>1742.2520157480305</v>
      </c>
      <c r="N1369" s="12" t="e">
        <f t="shared" si="434"/>
        <v>#REF!</v>
      </c>
      <c r="O1369" s="12" t="e">
        <f t="shared" si="435"/>
        <v>#REF!</v>
      </c>
      <c r="P1369" s="12" t="e">
        <f t="shared" si="436"/>
        <v>#REF!</v>
      </c>
    </row>
    <row r="1370" spans="1:16" ht="15.75" hidden="1" x14ac:dyDescent="0.25">
      <c r="A1370" s="14">
        <v>25</v>
      </c>
      <c r="B1370" s="14" t="s">
        <v>1822</v>
      </c>
      <c r="C1370" s="8" t="s">
        <v>1129</v>
      </c>
      <c r="D1370" s="28" t="s">
        <v>2576</v>
      </c>
      <c r="E1370" s="12" t="s">
        <v>1721</v>
      </c>
      <c r="F1370" s="1"/>
      <c r="G1370" s="1">
        <v>19.472000000000001</v>
      </c>
      <c r="H1370" s="1">
        <v>0.16700000000000001</v>
      </c>
      <c r="I1370" s="12">
        <f t="shared" si="432"/>
        <v>19.639000000000003</v>
      </c>
      <c r="J1370" s="12">
        <f>31442.19531-5759.898-3192.456-3581.244</f>
        <v>18908.597309999997</v>
      </c>
      <c r="K1370" s="12"/>
      <c r="L1370" s="12">
        <f t="shared" si="433"/>
        <v>18908.597309999997</v>
      </c>
      <c r="M1370" s="12">
        <f t="shared" si="430"/>
        <v>962.80856000814674</v>
      </c>
      <c r="N1370" s="12" t="e">
        <f t="shared" si="434"/>
        <v>#REF!</v>
      </c>
      <c r="O1370" s="12" t="e">
        <f t="shared" si="435"/>
        <v>#REF!</v>
      </c>
      <c r="P1370" s="12" t="e">
        <f t="shared" si="436"/>
        <v>#REF!</v>
      </c>
    </row>
    <row r="1371" spans="1:16" ht="15.75" hidden="1" x14ac:dyDescent="0.25">
      <c r="A1371" s="14">
        <v>25</v>
      </c>
      <c r="B1371" s="14" t="s">
        <v>1824</v>
      </c>
      <c r="C1371" s="8" t="s">
        <v>1129</v>
      </c>
      <c r="D1371" s="28" t="s">
        <v>2577</v>
      </c>
      <c r="E1371" s="12" t="s">
        <v>1722</v>
      </c>
      <c r="F1371" s="1"/>
      <c r="G1371" s="1">
        <v>7.31</v>
      </c>
      <c r="H1371" s="1">
        <v>5.5E-2</v>
      </c>
      <c r="I1371" s="12">
        <f t="shared" si="432"/>
        <v>7.3649999999999993</v>
      </c>
      <c r="J1371" s="12">
        <f>42192.55859-32379.516</f>
        <v>9813.0425900000009</v>
      </c>
      <c r="K1371" s="12"/>
      <c r="L1371" s="12">
        <f t="shared" si="433"/>
        <v>9813.0425900000009</v>
      </c>
      <c r="M1371" s="12">
        <f t="shared" si="430"/>
        <v>1332.3886748133064</v>
      </c>
      <c r="N1371" s="12" t="e">
        <f t="shared" si="434"/>
        <v>#REF!</v>
      </c>
      <c r="O1371" s="12" t="e">
        <f t="shared" si="435"/>
        <v>#REF!</v>
      </c>
      <c r="P1371" s="12" t="e">
        <f t="shared" si="436"/>
        <v>#REF!</v>
      </c>
    </row>
    <row r="1372" spans="1:16" ht="15.75" hidden="1" x14ac:dyDescent="0.25">
      <c r="A1372" s="14">
        <v>25</v>
      </c>
      <c r="B1372" s="14" t="s">
        <v>1826</v>
      </c>
      <c r="C1372" s="8" t="s">
        <v>1129</v>
      </c>
      <c r="D1372" s="28" t="s">
        <v>2578</v>
      </c>
      <c r="E1372" s="12" t="s">
        <v>1723</v>
      </c>
      <c r="F1372" s="1"/>
      <c r="G1372" s="1">
        <v>6.5250000000000004</v>
      </c>
      <c r="H1372" s="1">
        <v>9.6000000000000002E-2</v>
      </c>
      <c r="I1372" s="12">
        <f t="shared" si="432"/>
        <v>6.6210000000000004</v>
      </c>
      <c r="J1372" s="12">
        <f>23955.52065-1595.61-17702.598</f>
        <v>4657.3126499999962</v>
      </c>
      <c r="K1372" s="12"/>
      <c r="L1372" s="12">
        <f t="shared" si="433"/>
        <v>4657.3126499999962</v>
      </c>
      <c r="M1372" s="12">
        <f t="shared" si="430"/>
        <v>703.41529225192505</v>
      </c>
      <c r="N1372" s="12" t="e">
        <f t="shared" si="434"/>
        <v>#REF!</v>
      </c>
      <c r="O1372" s="12" t="e">
        <f t="shared" si="435"/>
        <v>#REF!</v>
      </c>
      <c r="P1372" s="12" t="e">
        <f t="shared" si="436"/>
        <v>#REF!</v>
      </c>
    </row>
    <row r="1373" spans="1:16" ht="15.75" hidden="1" x14ac:dyDescent="0.25">
      <c r="A1373" s="14">
        <v>25</v>
      </c>
      <c r="B1373" s="14">
        <v>10</v>
      </c>
      <c r="C1373" s="8" t="s">
        <v>1129</v>
      </c>
      <c r="D1373" s="28" t="s">
        <v>2579</v>
      </c>
      <c r="E1373" s="12" t="s">
        <v>1724</v>
      </c>
      <c r="F1373" s="1"/>
      <c r="G1373" s="1">
        <v>2.2120000000000002</v>
      </c>
      <c r="H1373" s="1">
        <v>1.7000000000000001E-2</v>
      </c>
      <c r="I1373" s="12">
        <f t="shared" si="432"/>
        <v>2.2290000000000001</v>
      </c>
      <c r="J1373" s="12">
        <f>38490.11655-34250.022</f>
        <v>4240.0945500000016</v>
      </c>
      <c r="K1373" s="12"/>
      <c r="L1373" s="12">
        <f t="shared" si="433"/>
        <v>4240.0945500000016</v>
      </c>
      <c r="M1373" s="12">
        <f t="shared" si="430"/>
        <v>1902.2407133243614</v>
      </c>
      <c r="N1373" s="12" t="e">
        <f t="shared" si="434"/>
        <v>#REF!</v>
      </c>
      <c r="O1373" s="12" t="e">
        <f t="shared" si="435"/>
        <v>#REF!</v>
      </c>
      <c r="P1373" s="12" t="e">
        <f t="shared" si="436"/>
        <v>#REF!</v>
      </c>
    </row>
    <row r="1374" spans="1:16" ht="15.75" hidden="1" x14ac:dyDescent="0.25">
      <c r="A1374" s="14">
        <v>25</v>
      </c>
      <c r="B1374" s="14">
        <v>11</v>
      </c>
      <c r="C1374" s="8" t="s">
        <v>1129</v>
      </c>
      <c r="D1374" s="28" t="s">
        <v>2580</v>
      </c>
      <c r="E1374" s="12" t="s">
        <v>1725</v>
      </c>
      <c r="F1374" s="1"/>
      <c r="G1374" s="1">
        <v>9.2460000000000004</v>
      </c>
      <c r="H1374" s="1">
        <v>6.2E-2</v>
      </c>
      <c r="I1374" s="12">
        <f t="shared" si="432"/>
        <v>9.3079999999999998</v>
      </c>
      <c r="J1374" s="12">
        <f>31114.17995-23471.97</f>
        <v>7642.2099500000004</v>
      </c>
      <c r="K1374" s="12"/>
      <c r="L1374" s="12">
        <f t="shared" si="433"/>
        <v>7642.2099500000004</v>
      </c>
      <c r="M1374" s="12">
        <f t="shared" si="430"/>
        <v>821.03673721529867</v>
      </c>
      <c r="N1374" s="12" t="e">
        <f t="shared" si="434"/>
        <v>#REF!</v>
      </c>
      <c r="O1374" s="12" t="e">
        <f t="shared" si="435"/>
        <v>#REF!</v>
      </c>
      <c r="P1374" s="12" t="e">
        <f t="shared" si="436"/>
        <v>#REF!</v>
      </c>
    </row>
    <row r="1375" spans="1:16" ht="15.75" hidden="1" x14ac:dyDescent="0.25">
      <c r="A1375" s="14">
        <v>25</v>
      </c>
      <c r="B1375" s="14">
        <v>12</v>
      </c>
      <c r="C1375" s="8" t="s">
        <v>1129</v>
      </c>
      <c r="D1375" s="28" t="s">
        <v>2581</v>
      </c>
      <c r="E1375" s="12" t="s">
        <v>1726</v>
      </c>
      <c r="F1375" s="1"/>
      <c r="G1375" s="1">
        <v>7.0490000000000004</v>
      </c>
      <c r="H1375" s="1">
        <v>7.9000000000000001E-2</v>
      </c>
      <c r="I1375" s="12">
        <f t="shared" si="432"/>
        <v>7.1280000000000001</v>
      </c>
      <c r="J1375" s="12">
        <v>3520.4644000000008</v>
      </c>
      <c r="K1375" s="12"/>
      <c r="L1375" s="12">
        <f t="shared" si="433"/>
        <v>3520.4644000000008</v>
      </c>
      <c r="M1375" s="12">
        <f t="shared" si="430"/>
        <v>493.89231200897876</v>
      </c>
      <c r="N1375" s="12" t="e">
        <f t="shared" si="434"/>
        <v>#REF!</v>
      </c>
      <c r="O1375" s="12" t="e">
        <f t="shared" si="435"/>
        <v>#REF!</v>
      </c>
      <c r="P1375" s="12" t="e">
        <f t="shared" si="436"/>
        <v>#REF!</v>
      </c>
    </row>
    <row r="1376" spans="1:16" ht="15.75" hidden="1" x14ac:dyDescent="0.25">
      <c r="A1376" s="14">
        <v>25</v>
      </c>
      <c r="B1376" s="14">
        <v>13</v>
      </c>
      <c r="C1376" s="8" t="s">
        <v>1129</v>
      </c>
      <c r="D1376" s="28" t="s">
        <v>2582</v>
      </c>
      <c r="E1376" s="12" t="s">
        <v>1727</v>
      </c>
      <c r="F1376" s="1"/>
      <c r="G1376" s="1">
        <v>4.8390000000000004</v>
      </c>
      <c r="H1376" s="1">
        <v>9.6000000000000002E-2</v>
      </c>
      <c r="I1376" s="12">
        <f t="shared" si="432"/>
        <v>4.9350000000000005</v>
      </c>
      <c r="J1376" s="12">
        <f>7108.79106-4461.174</f>
        <v>2647.6170599999996</v>
      </c>
      <c r="K1376" s="12"/>
      <c r="L1376" s="12">
        <f t="shared" si="433"/>
        <v>2647.6170599999996</v>
      </c>
      <c r="M1376" s="12">
        <f t="shared" si="430"/>
        <v>536.49788449848006</v>
      </c>
      <c r="N1376" s="12" t="e">
        <f t="shared" si="434"/>
        <v>#REF!</v>
      </c>
      <c r="O1376" s="12" t="e">
        <f t="shared" si="435"/>
        <v>#REF!</v>
      </c>
      <c r="P1376" s="12" t="e">
        <f t="shared" si="436"/>
        <v>#REF!</v>
      </c>
    </row>
    <row r="1377" spans="1:16" ht="15.75" hidden="1" x14ac:dyDescent="0.25">
      <c r="A1377" s="14">
        <v>25</v>
      </c>
      <c r="B1377" s="14">
        <v>14</v>
      </c>
      <c r="C1377" s="8" t="s">
        <v>1129</v>
      </c>
      <c r="D1377" s="28" t="s">
        <v>2583</v>
      </c>
      <c r="E1377" s="12" t="s">
        <v>1728</v>
      </c>
      <c r="F1377" s="1"/>
      <c r="G1377" s="1">
        <v>0</v>
      </c>
      <c r="H1377" s="1">
        <v>0</v>
      </c>
      <c r="I1377" s="12">
        <f t="shared" si="432"/>
        <v>0</v>
      </c>
      <c r="J1377" s="12">
        <f>15886.40791-15344.962-541.44591</f>
        <v>0</v>
      </c>
      <c r="K1377" s="12"/>
      <c r="L1377" s="12">
        <f t="shared" si="433"/>
        <v>0</v>
      </c>
      <c r="M1377" s="12"/>
      <c r="N1377" s="12"/>
      <c r="O1377" s="12"/>
      <c r="P1377" s="12"/>
    </row>
    <row r="1378" spans="1:16" ht="15.75" hidden="1" x14ac:dyDescent="0.25">
      <c r="A1378" s="14">
        <v>25</v>
      </c>
      <c r="B1378" s="14">
        <v>15</v>
      </c>
      <c r="C1378" s="8" t="s">
        <v>1129</v>
      </c>
      <c r="D1378" s="28" t="s">
        <v>2584</v>
      </c>
      <c r="E1378" s="12" t="s">
        <v>1729</v>
      </c>
      <c r="F1378" s="1"/>
      <c r="G1378" s="1">
        <v>10.808</v>
      </c>
      <c r="H1378" s="1">
        <v>5.3999999999999999E-2</v>
      </c>
      <c r="I1378" s="12">
        <f t="shared" si="432"/>
        <v>10.862</v>
      </c>
      <c r="J1378" s="12">
        <f>28354.21217-23556.216</f>
        <v>4797.9961699999985</v>
      </c>
      <c r="K1378" s="12"/>
      <c r="L1378" s="12">
        <f t="shared" si="433"/>
        <v>4797.9961699999985</v>
      </c>
      <c r="M1378" s="12">
        <f t="shared" si="430"/>
        <v>441.72308690848814</v>
      </c>
      <c r="N1378" s="12" t="e">
        <f t="shared" si="434"/>
        <v>#REF!</v>
      </c>
      <c r="O1378" s="12" t="e">
        <f t="shared" si="435"/>
        <v>#REF!</v>
      </c>
      <c r="P1378" s="12" t="e">
        <f t="shared" si="436"/>
        <v>#REF!</v>
      </c>
    </row>
    <row r="1379" spans="1:16" ht="15.75" hidden="1" x14ac:dyDescent="0.25">
      <c r="A1379" s="14">
        <v>25</v>
      </c>
      <c r="B1379" s="14">
        <v>16</v>
      </c>
      <c r="C1379" s="8" t="s">
        <v>1129</v>
      </c>
      <c r="D1379" s="28" t="s">
        <v>2585</v>
      </c>
      <c r="E1379" s="12" t="s">
        <v>1730</v>
      </c>
      <c r="F1379" s="1"/>
      <c r="G1379" s="1">
        <v>16.864999999999998</v>
      </c>
      <c r="H1379" s="1">
        <v>6.0999999999999999E-2</v>
      </c>
      <c r="I1379" s="12">
        <f t="shared" si="432"/>
        <v>16.925999999999998</v>
      </c>
      <c r="J1379" s="12">
        <v>11591.629709999997</v>
      </c>
      <c r="K1379" s="12"/>
      <c r="L1379" s="12">
        <f t="shared" si="433"/>
        <v>11591.629709999997</v>
      </c>
      <c r="M1379" s="12">
        <f t="shared" si="430"/>
        <v>684.84164657922713</v>
      </c>
      <c r="N1379" s="12" t="e">
        <f t="shared" si="434"/>
        <v>#REF!</v>
      </c>
      <c r="O1379" s="12" t="e">
        <f t="shared" si="435"/>
        <v>#REF!</v>
      </c>
      <c r="P1379" s="12" t="e">
        <f t="shared" si="436"/>
        <v>#REF!</v>
      </c>
    </row>
    <row r="1380" spans="1:16" ht="15.75" hidden="1" x14ac:dyDescent="0.25">
      <c r="A1380" s="14">
        <v>25</v>
      </c>
      <c r="B1380" s="14">
        <v>17</v>
      </c>
      <c r="C1380" s="8" t="s">
        <v>1129</v>
      </c>
      <c r="D1380" s="28" t="s">
        <v>2586</v>
      </c>
      <c r="E1380" s="12" t="s">
        <v>1731</v>
      </c>
      <c r="F1380" s="1"/>
      <c r="G1380" s="1">
        <v>13.202</v>
      </c>
      <c r="H1380" s="1">
        <v>8.3000000000000004E-2</v>
      </c>
      <c r="I1380" s="12">
        <f t="shared" si="432"/>
        <v>13.285</v>
      </c>
      <c r="J1380" s="12">
        <v>9443.52153</v>
      </c>
      <c r="K1380" s="12"/>
      <c r="L1380" s="12">
        <f t="shared" si="433"/>
        <v>9443.52153</v>
      </c>
      <c r="M1380" s="12">
        <f t="shared" si="430"/>
        <v>710.84091305984191</v>
      </c>
      <c r="N1380" s="12" t="e">
        <f t="shared" si="434"/>
        <v>#REF!</v>
      </c>
      <c r="O1380" s="12" t="e">
        <f t="shared" si="435"/>
        <v>#REF!</v>
      </c>
      <c r="P1380" s="12" t="e">
        <f t="shared" si="436"/>
        <v>#REF!</v>
      </c>
    </row>
    <row r="1381" spans="1:16" ht="15.75" hidden="1" x14ac:dyDescent="0.25">
      <c r="A1381" s="14">
        <v>25</v>
      </c>
      <c r="B1381" s="14">
        <v>18</v>
      </c>
      <c r="C1381" s="8" t="s">
        <v>1129</v>
      </c>
      <c r="D1381" s="28" t="s">
        <v>2587</v>
      </c>
      <c r="E1381" s="12" t="s">
        <v>1732</v>
      </c>
      <c r="F1381" s="1"/>
      <c r="G1381" s="1">
        <v>3.1629999999999998</v>
      </c>
      <c r="H1381" s="1">
        <v>2.4E-2</v>
      </c>
      <c r="I1381" s="12">
        <f t="shared" si="432"/>
        <v>3.1869999999999998</v>
      </c>
      <c r="J1381" s="12">
        <v>5207.879289999998</v>
      </c>
      <c r="K1381" s="12"/>
      <c r="L1381" s="12">
        <f t="shared" si="433"/>
        <v>5207.879289999998</v>
      </c>
      <c r="M1381" s="12">
        <f t="shared" si="430"/>
        <v>1634.1008126764978</v>
      </c>
      <c r="N1381" s="12" t="e">
        <f t="shared" si="434"/>
        <v>#REF!</v>
      </c>
      <c r="O1381" s="12" t="e">
        <f t="shared" si="435"/>
        <v>#REF!</v>
      </c>
      <c r="P1381" s="12" t="e">
        <f t="shared" si="436"/>
        <v>#REF!</v>
      </c>
    </row>
    <row r="1382" spans="1:16" ht="15.75" hidden="1" x14ac:dyDescent="0.25">
      <c r="A1382" s="14">
        <v>25</v>
      </c>
      <c r="B1382" s="14">
        <v>19</v>
      </c>
      <c r="C1382" s="8" t="s">
        <v>1129</v>
      </c>
      <c r="D1382" s="28" t="s">
        <v>2588</v>
      </c>
      <c r="E1382" s="12" t="s">
        <v>1733</v>
      </c>
      <c r="F1382" s="1"/>
      <c r="G1382" s="1">
        <v>27.186</v>
      </c>
      <c r="H1382" s="1">
        <v>0.27300000000000002</v>
      </c>
      <c r="I1382" s="12">
        <f t="shared" si="432"/>
        <v>27.459</v>
      </c>
      <c r="J1382" s="12">
        <f>47595.57924-5627.01-7965.516</f>
        <v>34003.053239999994</v>
      </c>
      <c r="K1382" s="12"/>
      <c r="L1382" s="12">
        <f t="shared" si="433"/>
        <v>34003.053239999994</v>
      </c>
      <c r="M1382" s="12">
        <f t="shared" si="430"/>
        <v>1238.3208871408278</v>
      </c>
      <c r="N1382" s="12" t="e">
        <f t="shared" si="434"/>
        <v>#REF!</v>
      </c>
      <c r="O1382" s="12" t="e">
        <f t="shared" si="435"/>
        <v>#REF!</v>
      </c>
      <c r="P1382" s="12" t="e">
        <f t="shared" si="436"/>
        <v>#REF!</v>
      </c>
    </row>
    <row r="1383" spans="1:16" ht="15.75" hidden="1" x14ac:dyDescent="0.25">
      <c r="A1383" s="14">
        <v>25</v>
      </c>
      <c r="B1383" s="14">
        <v>20</v>
      </c>
      <c r="C1383" s="8" t="s">
        <v>1129</v>
      </c>
      <c r="D1383" s="28" t="s">
        <v>2589</v>
      </c>
      <c r="E1383" s="12" t="s">
        <v>1734</v>
      </c>
      <c r="F1383" s="1"/>
      <c r="G1383" s="1">
        <v>23.372</v>
      </c>
      <c r="H1383" s="1">
        <v>0.193</v>
      </c>
      <c r="I1383" s="12">
        <f t="shared" si="432"/>
        <v>23.565000000000001</v>
      </c>
      <c r="J1383" s="12">
        <f>26859.59943-3351.924</f>
        <v>23507.675429999999</v>
      </c>
      <c r="K1383" s="12"/>
      <c r="L1383" s="12">
        <f t="shared" si="433"/>
        <v>23507.675429999999</v>
      </c>
      <c r="M1383" s="12">
        <f t="shared" si="430"/>
        <v>997.56738510502851</v>
      </c>
      <c r="N1383" s="12" t="e">
        <f t="shared" si="434"/>
        <v>#REF!</v>
      </c>
      <c r="O1383" s="12" t="e">
        <f t="shared" si="435"/>
        <v>#REF!</v>
      </c>
      <c r="P1383" s="12" t="e">
        <f t="shared" si="436"/>
        <v>#REF!</v>
      </c>
    </row>
    <row r="1384" spans="1:16" ht="15.75" hidden="1" x14ac:dyDescent="0.25">
      <c r="A1384" s="14">
        <v>25</v>
      </c>
      <c r="B1384" s="14">
        <v>21</v>
      </c>
      <c r="C1384" s="8" t="s">
        <v>1129</v>
      </c>
      <c r="D1384" s="28" t="s">
        <v>2590</v>
      </c>
      <c r="E1384" s="12" t="s">
        <v>1521</v>
      </c>
      <c r="F1384" s="1"/>
      <c r="G1384" s="1">
        <v>2.4849999999999999</v>
      </c>
      <c r="H1384" s="1">
        <v>1.4E-2</v>
      </c>
      <c r="I1384" s="12">
        <f t="shared" si="432"/>
        <v>2.4989999999999997</v>
      </c>
      <c r="J1384" s="12">
        <f>18113.73575-16347.804-449.046</f>
        <v>1316.8857499999997</v>
      </c>
      <c r="K1384" s="12"/>
      <c r="L1384" s="12">
        <f t="shared" si="433"/>
        <v>1316.8857499999997</v>
      </c>
      <c r="M1384" s="12">
        <f t="shared" si="430"/>
        <v>526.96508603441373</v>
      </c>
      <c r="N1384" s="12" t="e">
        <f t="shared" si="434"/>
        <v>#REF!</v>
      </c>
      <c r="O1384" s="12" t="e">
        <f t="shared" si="435"/>
        <v>#REF!</v>
      </c>
      <c r="P1384" s="12" t="e">
        <f t="shared" si="436"/>
        <v>#REF!</v>
      </c>
    </row>
    <row r="1385" spans="1:16" ht="15.75" hidden="1" x14ac:dyDescent="0.25">
      <c r="A1385" s="14">
        <v>25</v>
      </c>
      <c r="B1385" s="14">
        <v>22</v>
      </c>
      <c r="C1385" s="8" t="s">
        <v>1129</v>
      </c>
      <c r="D1385" s="28" t="s">
        <v>2591</v>
      </c>
      <c r="E1385" s="12" t="s">
        <v>1735</v>
      </c>
      <c r="F1385" s="1"/>
      <c r="G1385" s="1">
        <v>7.6820000000000004</v>
      </c>
      <c r="H1385" s="1">
        <v>6.7000000000000004E-2</v>
      </c>
      <c r="I1385" s="12">
        <f t="shared" si="432"/>
        <v>7.7490000000000006</v>
      </c>
      <c r="J1385" s="12">
        <f>13988.25916-11952.072</f>
        <v>2036.1871599999995</v>
      </c>
      <c r="K1385" s="12"/>
      <c r="L1385" s="12">
        <f t="shared" si="433"/>
        <v>2036.1871599999995</v>
      </c>
      <c r="M1385" s="12">
        <f t="shared" si="430"/>
        <v>262.76773261065938</v>
      </c>
      <c r="N1385" s="12" t="e">
        <f t="shared" si="434"/>
        <v>#REF!</v>
      </c>
      <c r="O1385" s="12" t="e">
        <f t="shared" si="435"/>
        <v>#REF!</v>
      </c>
      <c r="P1385" s="12" t="e">
        <f t="shared" si="436"/>
        <v>#REF!</v>
      </c>
    </row>
    <row r="1386" spans="1:16" ht="15.75" hidden="1" x14ac:dyDescent="0.25">
      <c r="A1386" s="14">
        <v>25</v>
      </c>
      <c r="B1386" s="14">
        <v>23</v>
      </c>
      <c r="C1386" s="8" t="s">
        <v>1129</v>
      </c>
      <c r="D1386" s="28" t="s">
        <v>2592</v>
      </c>
      <c r="E1386" s="12" t="s">
        <v>1736</v>
      </c>
      <c r="F1386" s="1"/>
      <c r="G1386" s="1">
        <v>0.496</v>
      </c>
      <c r="H1386" s="1">
        <v>1.2E-2</v>
      </c>
      <c r="I1386" s="12">
        <f t="shared" si="432"/>
        <v>0.50800000000000001</v>
      </c>
      <c r="J1386" s="12">
        <f>14340.38055-13828.698</f>
        <v>511.68254999999954</v>
      </c>
      <c r="K1386" s="12"/>
      <c r="L1386" s="12">
        <f t="shared" si="433"/>
        <v>511.68254999999954</v>
      </c>
      <c r="M1386" s="12">
        <f t="shared" si="430"/>
        <v>1007.2491141732274</v>
      </c>
      <c r="N1386" s="12" t="e">
        <f t="shared" si="434"/>
        <v>#REF!</v>
      </c>
      <c r="O1386" s="12" t="e">
        <f t="shared" si="435"/>
        <v>#REF!</v>
      </c>
      <c r="P1386" s="12" t="e">
        <f t="shared" si="436"/>
        <v>#REF!</v>
      </c>
    </row>
    <row r="1387" spans="1:16" ht="15.75" hidden="1" x14ac:dyDescent="0.25">
      <c r="A1387" s="14">
        <v>25</v>
      </c>
      <c r="B1387" s="14">
        <v>24</v>
      </c>
      <c r="C1387" s="8" t="s">
        <v>1129</v>
      </c>
      <c r="D1387" s="28" t="s">
        <v>2593</v>
      </c>
      <c r="E1387" s="12" t="s">
        <v>1737</v>
      </c>
      <c r="F1387" s="1"/>
      <c r="G1387" s="1">
        <v>5.1929999999999996</v>
      </c>
      <c r="H1387" s="1">
        <v>3.7999999999999999E-2</v>
      </c>
      <c r="I1387" s="12">
        <f t="shared" si="432"/>
        <v>5.2309999999999999</v>
      </c>
      <c r="J1387" s="12">
        <f>20287.00157-11726.844</f>
        <v>8560.1575700000012</v>
      </c>
      <c r="K1387" s="12"/>
      <c r="L1387" s="12">
        <f t="shared" si="433"/>
        <v>8560.1575700000012</v>
      </c>
      <c r="M1387" s="12">
        <f t="shared" si="430"/>
        <v>1636.4285165360354</v>
      </c>
      <c r="N1387" s="12" t="e">
        <f t="shared" si="434"/>
        <v>#REF!</v>
      </c>
      <c r="O1387" s="12" t="e">
        <f t="shared" si="435"/>
        <v>#REF!</v>
      </c>
      <c r="P1387" s="12" t="e">
        <f t="shared" si="436"/>
        <v>#REF!</v>
      </c>
    </row>
    <row r="1388" spans="1:16" ht="15.75" hidden="1" x14ac:dyDescent="0.25">
      <c r="A1388" s="14">
        <v>25</v>
      </c>
      <c r="B1388" s="14">
        <v>25</v>
      </c>
      <c r="C1388" s="8" t="s">
        <v>1129</v>
      </c>
      <c r="D1388" s="28" t="s">
        <v>2594</v>
      </c>
      <c r="E1388" s="12" t="s">
        <v>1313</v>
      </c>
      <c r="F1388" s="1"/>
      <c r="G1388" s="1">
        <v>31.748000000000001</v>
      </c>
      <c r="H1388" s="1">
        <v>8.6999999999999994E-2</v>
      </c>
      <c r="I1388" s="12">
        <f t="shared" si="432"/>
        <v>31.835000000000001</v>
      </c>
      <c r="J1388" s="12">
        <f>28799.80104-4566.912</f>
        <v>24232.889039999998</v>
      </c>
      <c r="K1388" s="12"/>
      <c r="L1388" s="12">
        <f t="shared" si="433"/>
        <v>24232.889039999998</v>
      </c>
      <c r="M1388" s="12">
        <f t="shared" si="430"/>
        <v>761.20273409769118</v>
      </c>
      <c r="N1388" s="12" t="e">
        <f t="shared" si="434"/>
        <v>#REF!</v>
      </c>
      <c r="O1388" s="12" t="e">
        <f t="shared" si="435"/>
        <v>#REF!</v>
      </c>
      <c r="P1388" s="12" t="e">
        <f t="shared" si="436"/>
        <v>#REF!</v>
      </c>
    </row>
    <row r="1389" spans="1:16" ht="15.75" hidden="1" x14ac:dyDescent="0.25">
      <c r="A1389" s="14">
        <v>25</v>
      </c>
      <c r="B1389" s="14">
        <v>26</v>
      </c>
      <c r="C1389" s="8" t="s">
        <v>1129</v>
      </c>
      <c r="D1389" s="28" t="s">
        <v>2595</v>
      </c>
      <c r="E1389" s="47" t="s">
        <v>1001</v>
      </c>
      <c r="F1389" s="48"/>
      <c r="G1389" s="48">
        <v>0</v>
      </c>
      <c r="H1389" s="48">
        <v>0</v>
      </c>
      <c r="I1389" s="12">
        <f t="shared" si="432"/>
        <v>0</v>
      </c>
      <c r="J1389" s="47">
        <v>0</v>
      </c>
      <c r="K1389" s="47"/>
      <c r="L1389" s="47"/>
      <c r="M1389" s="47"/>
      <c r="N1389" s="12" t="e">
        <f t="shared" si="434"/>
        <v>#REF!</v>
      </c>
      <c r="O1389" s="12" t="e">
        <f t="shared" si="435"/>
        <v>#REF!</v>
      </c>
      <c r="P1389" s="12" t="e">
        <f t="shared" si="436"/>
        <v>#REF!</v>
      </c>
    </row>
    <row r="1390" spans="1:16" ht="15.75" hidden="1" x14ac:dyDescent="0.25">
      <c r="A1390" s="15">
        <v>25</v>
      </c>
      <c r="B1390" s="15" t="s">
        <v>1126</v>
      </c>
      <c r="C1390" s="10" t="s">
        <v>1743</v>
      </c>
      <c r="D1390" s="29"/>
      <c r="E1390" s="37" t="s">
        <v>1747</v>
      </c>
      <c r="F1390" s="6"/>
      <c r="G1390" s="37">
        <f t="shared" ref="G1390:L1390" si="437">SUM(G1391:G1427)</f>
        <v>360.40199999999993</v>
      </c>
      <c r="H1390" s="37">
        <f>SUM(H1391:H1427)</f>
        <v>2.6860000000000004</v>
      </c>
      <c r="I1390" s="37">
        <f t="shared" si="437"/>
        <v>363.08799999999991</v>
      </c>
      <c r="J1390" s="37">
        <f t="shared" si="437"/>
        <v>497589.02301</v>
      </c>
      <c r="K1390" s="37">
        <f t="shared" si="437"/>
        <v>0</v>
      </c>
      <c r="L1390" s="37">
        <f t="shared" si="437"/>
        <v>497589.02301</v>
      </c>
      <c r="M1390" s="37">
        <f>L1390/I1390</f>
        <v>1370.4364314160757</v>
      </c>
      <c r="N1390" s="37" t="e">
        <f>M1390/$M$1429</f>
        <v>#REF!</v>
      </c>
      <c r="O1390" s="37" t="e">
        <f>SUM(O1391:O1427)</f>
        <v>#REF!</v>
      </c>
      <c r="P1390" s="37" t="e">
        <f>SUM(P1391:P1427)</f>
        <v>#REF!</v>
      </c>
    </row>
    <row r="1391" spans="1:16" ht="15.75" hidden="1" x14ac:dyDescent="0.25">
      <c r="A1391" s="14">
        <v>25</v>
      </c>
      <c r="B1391" s="14">
        <v>27</v>
      </c>
      <c r="C1391" s="8" t="s">
        <v>1744</v>
      </c>
      <c r="D1391" s="28" t="s">
        <v>2596</v>
      </c>
      <c r="E1391" s="12" t="s">
        <v>78</v>
      </c>
      <c r="F1391" s="1"/>
      <c r="G1391" s="1">
        <v>3.9209999999999998</v>
      </c>
      <c r="H1391" s="1">
        <v>4.0000000000000001E-3</v>
      </c>
      <c r="I1391" s="12">
        <f t="shared" ref="I1391:I1427" si="438">H1391+G1391</f>
        <v>3.9249999999999998</v>
      </c>
      <c r="J1391" s="12">
        <v>5204.6682200000005</v>
      </c>
      <c r="K1391" s="12"/>
      <c r="L1391" s="12">
        <f t="shared" ref="L1391:L1423" si="439">J1391+K1391</f>
        <v>5204.6682200000005</v>
      </c>
      <c r="M1391" s="12">
        <f t="shared" ref="M1391:M1423" si="440">L1391/I1391</f>
        <v>1326.0301197452231</v>
      </c>
      <c r="N1391" s="12" t="e">
        <f t="shared" ref="N1391:N1427" si="441">M1391/$M$1433</f>
        <v>#REF!</v>
      </c>
      <c r="O1391" s="12" t="e">
        <f t="shared" ref="O1391:O1427" si="442">ROUND(IF(N1391&lt;110%,0,(M1391-$M$1433*1.1)*0.8)*I1391,1)</f>
        <v>#REF!</v>
      </c>
      <c r="P1391" s="12" t="e">
        <f t="shared" ref="P1391:P1427" si="443">ROUND(IF(N1391&gt;90%,0,(-M1391+$M$1433*0.9)*0.8)*I1391,1)</f>
        <v>#REF!</v>
      </c>
    </row>
    <row r="1392" spans="1:16" ht="15.75" hidden="1" x14ac:dyDescent="0.25">
      <c r="A1392" s="14">
        <v>25</v>
      </c>
      <c r="B1392" s="14">
        <v>28</v>
      </c>
      <c r="C1392" s="8" t="s">
        <v>1744</v>
      </c>
      <c r="D1392" s="28" t="s">
        <v>79</v>
      </c>
      <c r="E1392" s="12" t="s">
        <v>143</v>
      </c>
      <c r="F1392" s="1"/>
      <c r="G1392" s="1">
        <v>9.4710000000000001</v>
      </c>
      <c r="H1392" s="1">
        <v>8.6999999999999994E-2</v>
      </c>
      <c r="I1392" s="12">
        <f t="shared" si="438"/>
        <v>9.5579999999999998</v>
      </c>
      <c r="J1392" s="12">
        <v>40886.214840000001</v>
      </c>
      <c r="K1392" s="12"/>
      <c r="L1392" s="12">
        <f t="shared" si="439"/>
        <v>40886.214840000001</v>
      </c>
      <c r="M1392" s="12">
        <f t="shared" si="440"/>
        <v>4277.6956308851222</v>
      </c>
      <c r="N1392" s="12" t="e">
        <f t="shared" si="441"/>
        <v>#REF!</v>
      </c>
      <c r="O1392" s="12" t="e">
        <f t="shared" si="442"/>
        <v>#REF!</v>
      </c>
      <c r="P1392" s="12" t="e">
        <f t="shared" si="443"/>
        <v>#REF!</v>
      </c>
    </row>
    <row r="1393" spans="1:16" ht="15.75" hidden="1" x14ac:dyDescent="0.25">
      <c r="A1393" s="14">
        <v>25</v>
      </c>
      <c r="B1393" s="14">
        <v>29</v>
      </c>
      <c r="C1393" s="8" t="s">
        <v>1744</v>
      </c>
      <c r="D1393" s="28" t="s">
        <v>80</v>
      </c>
      <c r="E1393" s="12" t="s">
        <v>81</v>
      </c>
      <c r="F1393" s="1"/>
      <c r="G1393" s="1">
        <v>3.3839999999999999</v>
      </c>
      <c r="H1393" s="1">
        <v>1.6E-2</v>
      </c>
      <c r="I1393" s="12">
        <f t="shared" si="438"/>
        <v>3.4</v>
      </c>
      <c r="J1393" s="12">
        <v>2582.5793999999996</v>
      </c>
      <c r="K1393" s="12"/>
      <c r="L1393" s="12">
        <f t="shared" si="439"/>
        <v>2582.5793999999996</v>
      </c>
      <c r="M1393" s="12">
        <f t="shared" si="440"/>
        <v>759.58217647058814</v>
      </c>
      <c r="N1393" s="12" t="e">
        <f t="shared" si="441"/>
        <v>#REF!</v>
      </c>
      <c r="O1393" s="12" t="e">
        <f t="shared" si="442"/>
        <v>#REF!</v>
      </c>
      <c r="P1393" s="12" t="e">
        <f t="shared" si="443"/>
        <v>#REF!</v>
      </c>
    </row>
    <row r="1394" spans="1:16" ht="15.75" hidden="1" x14ac:dyDescent="0.25">
      <c r="A1394" s="14">
        <v>25</v>
      </c>
      <c r="B1394" s="14">
        <v>30</v>
      </c>
      <c r="C1394" s="8" t="s">
        <v>1744</v>
      </c>
      <c r="D1394" s="28" t="s">
        <v>82</v>
      </c>
      <c r="E1394" s="12" t="s">
        <v>1807</v>
      </c>
      <c r="F1394" s="1"/>
      <c r="G1394" s="1">
        <v>1.577</v>
      </c>
      <c r="H1394" s="1">
        <v>1.2E-2</v>
      </c>
      <c r="I1394" s="12">
        <f t="shared" si="438"/>
        <v>1.589</v>
      </c>
      <c r="J1394" s="12">
        <v>1736.2766099999999</v>
      </c>
      <c r="K1394" s="12"/>
      <c r="L1394" s="12">
        <f t="shared" si="439"/>
        <v>1736.2766099999999</v>
      </c>
      <c r="M1394" s="12">
        <f t="shared" si="440"/>
        <v>1092.6850912523598</v>
      </c>
      <c r="N1394" s="12" t="e">
        <f t="shared" si="441"/>
        <v>#REF!</v>
      </c>
      <c r="O1394" s="12" t="e">
        <f t="shared" si="442"/>
        <v>#REF!</v>
      </c>
      <c r="P1394" s="12" t="e">
        <f t="shared" si="443"/>
        <v>#REF!</v>
      </c>
    </row>
    <row r="1395" spans="1:16" ht="15.75" hidden="1" x14ac:dyDescent="0.25">
      <c r="A1395" s="14">
        <v>25</v>
      </c>
      <c r="B1395" s="14">
        <v>31</v>
      </c>
      <c r="C1395" s="8" t="s">
        <v>1744</v>
      </c>
      <c r="D1395" s="28" t="s">
        <v>83</v>
      </c>
      <c r="E1395" s="12" t="s">
        <v>84</v>
      </c>
      <c r="F1395" s="1"/>
      <c r="G1395" s="1">
        <v>5.72</v>
      </c>
      <c r="H1395" s="1">
        <v>5.2999999999999999E-2</v>
      </c>
      <c r="I1395" s="12">
        <f t="shared" si="438"/>
        <v>5.7729999999999997</v>
      </c>
      <c r="J1395" s="12">
        <v>9651.08626</v>
      </c>
      <c r="K1395" s="12"/>
      <c r="L1395" s="12">
        <f t="shared" si="439"/>
        <v>9651.08626</v>
      </c>
      <c r="M1395" s="12">
        <f t="shared" si="440"/>
        <v>1671.7627334141696</v>
      </c>
      <c r="N1395" s="12" t="e">
        <f t="shared" si="441"/>
        <v>#REF!</v>
      </c>
      <c r="O1395" s="12" t="e">
        <f t="shared" si="442"/>
        <v>#REF!</v>
      </c>
      <c r="P1395" s="12" t="e">
        <f t="shared" si="443"/>
        <v>#REF!</v>
      </c>
    </row>
    <row r="1396" spans="1:16" ht="15.75" hidden="1" x14ac:dyDescent="0.25">
      <c r="A1396" s="14">
        <v>25</v>
      </c>
      <c r="B1396" s="14">
        <v>32</v>
      </c>
      <c r="C1396" s="8" t="s">
        <v>1744</v>
      </c>
      <c r="D1396" s="28" t="s">
        <v>484</v>
      </c>
      <c r="E1396" s="12" t="s">
        <v>485</v>
      </c>
      <c r="F1396" s="1"/>
      <c r="G1396" s="1">
        <v>4.1890000000000001</v>
      </c>
      <c r="H1396" s="1">
        <v>0.04</v>
      </c>
      <c r="I1396" s="12">
        <f t="shared" si="438"/>
        <v>4.2290000000000001</v>
      </c>
      <c r="J1396" s="12">
        <v>5345.46</v>
      </c>
      <c r="K1396" s="12"/>
      <c r="L1396" s="12">
        <f t="shared" si="439"/>
        <v>5345.46</v>
      </c>
      <c r="M1396" s="12">
        <f t="shared" si="440"/>
        <v>1264.0009458500826</v>
      </c>
      <c r="N1396" s="12" t="e">
        <f t="shared" si="441"/>
        <v>#REF!</v>
      </c>
      <c r="O1396" s="12" t="e">
        <f t="shared" si="442"/>
        <v>#REF!</v>
      </c>
      <c r="P1396" s="12" t="e">
        <f t="shared" si="443"/>
        <v>#REF!</v>
      </c>
    </row>
    <row r="1397" spans="1:16" ht="15.75" hidden="1" x14ac:dyDescent="0.25">
      <c r="A1397" s="14">
        <v>25</v>
      </c>
      <c r="B1397" s="14">
        <v>33</v>
      </c>
      <c r="C1397" s="8" t="s">
        <v>1744</v>
      </c>
      <c r="D1397" s="28" t="s">
        <v>486</v>
      </c>
      <c r="E1397" s="12" t="s">
        <v>487</v>
      </c>
      <c r="F1397" s="1"/>
      <c r="G1397" s="1">
        <v>17.510999999999999</v>
      </c>
      <c r="H1397" s="1">
        <v>3.4000000000000002E-2</v>
      </c>
      <c r="I1397" s="12">
        <f t="shared" si="438"/>
        <v>17.544999999999998</v>
      </c>
      <c r="J1397" s="12">
        <v>30264.97003</v>
      </c>
      <c r="K1397" s="12"/>
      <c r="L1397" s="12">
        <f t="shared" si="439"/>
        <v>30264.97003</v>
      </c>
      <c r="M1397" s="12">
        <f t="shared" si="440"/>
        <v>1724.9911672841267</v>
      </c>
      <c r="N1397" s="12" t="e">
        <f t="shared" si="441"/>
        <v>#REF!</v>
      </c>
      <c r="O1397" s="12" t="e">
        <f t="shared" si="442"/>
        <v>#REF!</v>
      </c>
      <c r="P1397" s="12" t="e">
        <f t="shared" si="443"/>
        <v>#REF!</v>
      </c>
    </row>
    <row r="1398" spans="1:16" ht="15.75" hidden="1" x14ac:dyDescent="0.25">
      <c r="A1398" s="14">
        <v>25</v>
      </c>
      <c r="B1398" s="14">
        <v>34</v>
      </c>
      <c r="C1398" s="8" t="s">
        <v>1744</v>
      </c>
      <c r="D1398" s="28" t="s">
        <v>488</v>
      </c>
      <c r="E1398" s="12" t="s">
        <v>489</v>
      </c>
      <c r="F1398" s="1"/>
      <c r="G1398" s="1">
        <v>19.902999999999999</v>
      </c>
      <c r="H1398" s="1">
        <v>0.187</v>
      </c>
      <c r="I1398" s="12">
        <f t="shared" si="438"/>
        <v>20.09</v>
      </c>
      <c r="J1398" s="12">
        <v>19423.833000000002</v>
      </c>
      <c r="K1398" s="12"/>
      <c r="L1398" s="12">
        <f t="shared" si="439"/>
        <v>19423.833000000002</v>
      </c>
      <c r="M1398" s="12">
        <f t="shared" si="440"/>
        <v>966.84086610253871</v>
      </c>
      <c r="N1398" s="12" t="e">
        <f t="shared" si="441"/>
        <v>#REF!</v>
      </c>
      <c r="O1398" s="12" t="e">
        <f t="shared" si="442"/>
        <v>#REF!</v>
      </c>
      <c r="P1398" s="12" t="e">
        <f t="shared" si="443"/>
        <v>#REF!</v>
      </c>
    </row>
    <row r="1399" spans="1:16" ht="15.75" hidden="1" x14ac:dyDescent="0.25">
      <c r="A1399" s="14">
        <v>25</v>
      </c>
      <c r="B1399" s="14">
        <v>35</v>
      </c>
      <c r="C1399" s="8" t="s">
        <v>1744</v>
      </c>
      <c r="D1399" s="28" t="s">
        <v>490</v>
      </c>
      <c r="E1399" s="12" t="s">
        <v>491</v>
      </c>
      <c r="F1399" s="1"/>
      <c r="G1399" s="1">
        <v>7.734</v>
      </c>
      <c r="H1399" s="1">
        <v>9.7000000000000003E-2</v>
      </c>
      <c r="I1399" s="12">
        <f t="shared" si="438"/>
        <v>7.8310000000000004</v>
      </c>
      <c r="J1399" s="12">
        <v>5571.2640000000001</v>
      </c>
      <c r="K1399" s="12"/>
      <c r="L1399" s="12">
        <f t="shared" si="439"/>
        <v>5571.2640000000001</v>
      </c>
      <c r="M1399" s="12">
        <f t="shared" si="440"/>
        <v>711.43710892606305</v>
      </c>
      <c r="N1399" s="12" t="e">
        <f t="shared" si="441"/>
        <v>#REF!</v>
      </c>
      <c r="O1399" s="12" t="e">
        <f t="shared" si="442"/>
        <v>#REF!</v>
      </c>
      <c r="P1399" s="12" t="e">
        <f t="shared" si="443"/>
        <v>#REF!</v>
      </c>
    </row>
    <row r="1400" spans="1:16" ht="15.75" hidden="1" x14ac:dyDescent="0.25">
      <c r="A1400" s="14">
        <v>25</v>
      </c>
      <c r="B1400" s="14">
        <v>36</v>
      </c>
      <c r="C1400" s="8" t="s">
        <v>1744</v>
      </c>
      <c r="D1400" s="28" t="s">
        <v>492</v>
      </c>
      <c r="E1400" s="12" t="s">
        <v>493</v>
      </c>
      <c r="F1400" s="1"/>
      <c r="G1400" s="1">
        <v>23.550999999999998</v>
      </c>
      <c r="H1400" s="1">
        <v>0.16900000000000001</v>
      </c>
      <c r="I1400" s="12">
        <f t="shared" si="438"/>
        <v>23.72</v>
      </c>
      <c r="J1400" s="12">
        <v>23235.874739999999</v>
      </c>
      <c r="K1400" s="12"/>
      <c r="L1400" s="12">
        <f t="shared" si="439"/>
        <v>23235.874739999999</v>
      </c>
      <c r="M1400" s="12">
        <f t="shared" si="440"/>
        <v>979.58999747048904</v>
      </c>
      <c r="N1400" s="12" t="e">
        <f t="shared" si="441"/>
        <v>#REF!</v>
      </c>
      <c r="O1400" s="12" t="e">
        <f t="shared" si="442"/>
        <v>#REF!</v>
      </c>
      <c r="P1400" s="12" t="e">
        <f t="shared" si="443"/>
        <v>#REF!</v>
      </c>
    </row>
    <row r="1401" spans="1:16" ht="15.75" hidden="1" x14ac:dyDescent="0.25">
      <c r="A1401" s="14">
        <v>25</v>
      </c>
      <c r="B1401" s="14">
        <v>37</v>
      </c>
      <c r="C1401" s="8" t="s">
        <v>1744</v>
      </c>
      <c r="D1401" s="28" t="s">
        <v>494</v>
      </c>
      <c r="E1401" s="12" t="s">
        <v>495</v>
      </c>
      <c r="F1401" s="1"/>
      <c r="G1401" s="1">
        <v>4.7030000000000003</v>
      </c>
      <c r="H1401" s="1">
        <v>6.0000000000000001E-3</v>
      </c>
      <c r="I1401" s="12">
        <f t="shared" si="438"/>
        <v>4.7090000000000005</v>
      </c>
      <c r="J1401" s="12">
        <v>27315.54</v>
      </c>
      <c r="K1401" s="12"/>
      <c r="L1401" s="12">
        <f t="shared" si="439"/>
        <v>27315.54</v>
      </c>
      <c r="M1401" s="12">
        <f t="shared" si="440"/>
        <v>5800.7092801019317</v>
      </c>
      <c r="N1401" s="12" t="e">
        <f t="shared" si="441"/>
        <v>#REF!</v>
      </c>
      <c r="O1401" s="12" t="e">
        <f t="shared" si="442"/>
        <v>#REF!</v>
      </c>
      <c r="P1401" s="12" t="e">
        <f t="shared" si="443"/>
        <v>#REF!</v>
      </c>
    </row>
    <row r="1402" spans="1:16" ht="15.75" hidden="1" x14ac:dyDescent="0.25">
      <c r="A1402" s="14">
        <v>25</v>
      </c>
      <c r="B1402" s="14">
        <v>38</v>
      </c>
      <c r="C1402" s="8" t="s">
        <v>1744</v>
      </c>
      <c r="D1402" s="28" t="s">
        <v>496</v>
      </c>
      <c r="E1402" s="12" t="s">
        <v>497</v>
      </c>
      <c r="F1402" s="1"/>
      <c r="G1402" s="1">
        <v>16.026</v>
      </c>
      <c r="H1402" s="1">
        <v>0.16400000000000001</v>
      </c>
      <c r="I1402" s="12">
        <f t="shared" si="438"/>
        <v>16.190000000000001</v>
      </c>
      <c r="J1402" s="12">
        <v>13949.052</v>
      </c>
      <c r="K1402" s="12"/>
      <c r="L1402" s="12">
        <f t="shared" si="439"/>
        <v>13949.052</v>
      </c>
      <c r="M1402" s="12">
        <f t="shared" si="440"/>
        <v>861.58443483631868</v>
      </c>
      <c r="N1402" s="12" t="e">
        <f t="shared" si="441"/>
        <v>#REF!</v>
      </c>
      <c r="O1402" s="12" t="e">
        <f t="shared" si="442"/>
        <v>#REF!</v>
      </c>
      <c r="P1402" s="12" t="e">
        <f t="shared" si="443"/>
        <v>#REF!</v>
      </c>
    </row>
    <row r="1403" spans="1:16" ht="15.75" hidden="1" x14ac:dyDescent="0.25">
      <c r="A1403" s="14">
        <v>25</v>
      </c>
      <c r="B1403" s="14">
        <v>39</v>
      </c>
      <c r="C1403" s="8" t="s">
        <v>1744</v>
      </c>
      <c r="D1403" s="28" t="s">
        <v>498</v>
      </c>
      <c r="E1403" s="12" t="s">
        <v>499</v>
      </c>
      <c r="F1403" s="1"/>
      <c r="G1403" s="1">
        <v>6.4329999999999998</v>
      </c>
      <c r="H1403" s="1">
        <v>4.0000000000000001E-3</v>
      </c>
      <c r="I1403" s="12">
        <f t="shared" si="438"/>
        <v>6.4369999999999994</v>
      </c>
      <c r="J1403" s="12">
        <v>5018.7539999999999</v>
      </c>
      <c r="K1403" s="12"/>
      <c r="L1403" s="12">
        <f t="shared" si="439"/>
        <v>5018.7539999999999</v>
      </c>
      <c r="M1403" s="12">
        <f t="shared" si="440"/>
        <v>779.67282895758899</v>
      </c>
      <c r="N1403" s="12" t="e">
        <f t="shared" si="441"/>
        <v>#REF!</v>
      </c>
      <c r="O1403" s="12" t="e">
        <f t="shared" si="442"/>
        <v>#REF!</v>
      </c>
      <c r="P1403" s="12" t="e">
        <f t="shared" si="443"/>
        <v>#REF!</v>
      </c>
    </row>
    <row r="1404" spans="1:16" ht="15.75" hidden="1" x14ac:dyDescent="0.25">
      <c r="A1404" s="14">
        <v>25</v>
      </c>
      <c r="B1404" s="14">
        <v>40</v>
      </c>
      <c r="C1404" s="8" t="s">
        <v>1744</v>
      </c>
      <c r="D1404" s="28" t="s">
        <v>500</v>
      </c>
      <c r="E1404" s="12" t="s">
        <v>501</v>
      </c>
      <c r="F1404" s="1"/>
      <c r="G1404" s="1">
        <v>8.4909999999999997</v>
      </c>
      <c r="H1404" s="1">
        <v>2.9000000000000001E-2</v>
      </c>
      <c r="I1404" s="12">
        <f t="shared" si="438"/>
        <v>8.52</v>
      </c>
      <c r="J1404" s="12">
        <v>11219.201999999999</v>
      </c>
      <c r="K1404" s="12"/>
      <c r="L1404" s="12">
        <f t="shared" si="439"/>
        <v>11219.201999999999</v>
      </c>
      <c r="M1404" s="12">
        <f t="shared" si="440"/>
        <v>1316.8077464788732</v>
      </c>
      <c r="N1404" s="12" t="e">
        <f t="shared" si="441"/>
        <v>#REF!</v>
      </c>
      <c r="O1404" s="12" t="e">
        <f t="shared" si="442"/>
        <v>#REF!</v>
      </c>
      <c r="P1404" s="12" t="e">
        <f t="shared" si="443"/>
        <v>#REF!</v>
      </c>
    </row>
    <row r="1405" spans="1:16" ht="15.75" hidden="1" x14ac:dyDescent="0.25">
      <c r="A1405" s="14">
        <v>25</v>
      </c>
      <c r="B1405" s="14">
        <v>41</v>
      </c>
      <c r="C1405" s="8" t="s">
        <v>1744</v>
      </c>
      <c r="D1405" s="28" t="s">
        <v>502</v>
      </c>
      <c r="E1405" s="12" t="s">
        <v>503</v>
      </c>
      <c r="F1405" s="1"/>
      <c r="G1405" s="1">
        <v>5.6050000000000004</v>
      </c>
      <c r="H1405" s="1">
        <v>3.1E-2</v>
      </c>
      <c r="I1405" s="12">
        <f t="shared" si="438"/>
        <v>5.6360000000000001</v>
      </c>
      <c r="J1405" s="12">
        <v>2652.66</v>
      </c>
      <c r="K1405" s="12"/>
      <c r="L1405" s="12">
        <f t="shared" si="439"/>
        <v>2652.66</v>
      </c>
      <c r="M1405" s="12">
        <f t="shared" si="440"/>
        <v>470.66359119943218</v>
      </c>
      <c r="N1405" s="12" t="e">
        <f t="shared" si="441"/>
        <v>#REF!</v>
      </c>
      <c r="O1405" s="12" t="e">
        <f t="shared" si="442"/>
        <v>#REF!</v>
      </c>
      <c r="P1405" s="12" t="e">
        <f t="shared" si="443"/>
        <v>#REF!</v>
      </c>
    </row>
    <row r="1406" spans="1:16" ht="15.75" hidden="1" x14ac:dyDescent="0.25">
      <c r="A1406" s="14">
        <v>25</v>
      </c>
      <c r="B1406" s="14">
        <v>42</v>
      </c>
      <c r="C1406" s="8" t="s">
        <v>1744</v>
      </c>
      <c r="D1406" s="28" t="s">
        <v>504</v>
      </c>
      <c r="E1406" s="12" t="s">
        <v>505</v>
      </c>
      <c r="F1406" s="1"/>
      <c r="G1406" s="1">
        <v>4.4370000000000003</v>
      </c>
      <c r="H1406" s="1">
        <v>3.6999999999999998E-2</v>
      </c>
      <c r="I1406" s="12">
        <f t="shared" si="438"/>
        <v>4.4740000000000002</v>
      </c>
      <c r="J1406" s="12">
        <v>6553.5280000000012</v>
      </c>
      <c r="K1406" s="12"/>
      <c r="L1406" s="12">
        <f t="shared" si="439"/>
        <v>6553.5280000000012</v>
      </c>
      <c r="M1406" s="12">
        <f t="shared" si="440"/>
        <v>1464.8028609745197</v>
      </c>
      <c r="N1406" s="12" t="e">
        <f t="shared" si="441"/>
        <v>#REF!</v>
      </c>
      <c r="O1406" s="12" t="e">
        <f t="shared" si="442"/>
        <v>#REF!</v>
      </c>
      <c r="P1406" s="12" t="e">
        <f t="shared" si="443"/>
        <v>#REF!</v>
      </c>
    </row>
    <row r="1407" spans="1:16" ht="15.75" hidden="1" x14ac:dyDescent="0.25">
      <c r="A1407" s="14">
        <v>25</v>
      </c>
      <c r="B1407" s="14">
        <v>43</v>
      </c>
      <c r="C1407" s="8" t="s">
        <v>1744</v>
      </c>
      <c r="D1407" s="28" t="s">
        <v>572</v>
      </c>
      <c r="E1407" s="38" t="s">
        <v>573</v>
      </c>
      <c r="F1407" s="39"/>
      <c r="G1407" s="39">
        <v>25.113</v>
      </c>
      <c r="H1407" s="39">
        <v>0.13700000000000001</v>
      </c>
      <c r="I1407" s="12">
        <f t="shared" si="438"/>
        <v>25.25</v>
      </c>
      <c r="J1407" s="38">
        <v>23556.216</v>
      </c>
      <c r="K1407" s="38"/>
      <c r="L1407" s="38">
        <f t="shared" si="439"/>
        <v>23556.216</v>
      </c>
      <c r="M1407" s="38">
        <f t="shared" si="440"/>
        <v>932.91944554455449</v>
      </c>
      <c r="N1407" s="12" t="e">
        <f t="shared" si="441"/>
        <v>#REF!</v>
      </c>
      <c r="O1407" s="12" t="e">
        <f t="shared" si="442"/>
        <v>#REF!</v>
      </c>
      <c r="P1407" s="12" t="e">
        <f t="shared" si="443"/>
        <v>#REF!</v>
      </c>
    </row>
    <row r="1408" spans="1:16" ht="15.75" hidden="1" x14ac:dyDescent="0.25">
      <c r="A1408" s="14">
        <v>25</v>
      </c>
      <c r="B1408" s="14">
        <v>44</v>
      </c>
      <c r="C1408" s="8" t="s">
        <v>1744</v>
      </c>
      <c r="D1408" s="28" t="s">
        <v>574</v>
      </c>
      <c r="E1408" s="38" t="s">
        <v>575</v>
      </c>
      <c r="F1408" s="39"/>
      <c r="G1408" s="39">
        <v>15.407999999999999</v>
      </c>
      <c r="H1408" s="39">
        <v>6.3E-2</v>
      </c>
      <c r="I1408" s="12">
        <f t="shared" si="438"/>
        <v>15.471</v>
      </c>
      <c r="J1408" s="38">
        <v>23471.97</v>
      </c>
      <c r="K1408" s="38"/>
      <c r="L1408" s="38">
        <f t="shared" si="439"/>
        <v>23471.97</v>
      </c>
      <c r="M1408" s="38">
        <f t="shared" si="440"/>
        <v>1517.1592010859026</v>
      </c>
      <c r="N1408" s="12" t="e">
        <f t="shared" si="441"/>
        <v>#REF!</v>
      </c>
      <c r="O1408" s="12" t="e">
        <f t="shared" si="442"/>
        <v>#REF!</v>
      </c>
      <c r="P1408" s="12" t="e">
        <f t="shared" si="443"/>
        <v>#REF!</v>
      </c>
    </row>
    <row r="1409" spans="1:16" ht="15.75" hidden="1" x14ac:dyDescent="0.25">
      <c r="A1409" s="14">
        <v>25</v>
      </c>
      <c r="B1409" s="14">
        <v>45</v>
      </c>
      <c r="C1409" s="8" t="s">
        <v>1744</v>
      </c>
      <c r="D1409" s="28" t="s">
        <v>576</v>
      </c>
      <c r="E1409" s="38" t="s">
        <v>577</v>
      </c>
      <c r="F1409" s="39"/>
      <c r="G1409" s="39">
        <v>4.3019999999999996</v>
      </c>
      <c r="H1409" s="39">
        <v>4.4999999999999998E-2</v>
      </c>
      <c r="I1409" s="12">
        <f t="shared" si="438"/>
        <v>4.3469999999999995</v>
      </c>
      <c r="J1409" s="38">
        <v>5759.8980000000001</v>
      </c>
      <c r="K1409" s="38"/>
      <c r="L1409" s="38">
        <f t="shared" si="439"/>
        <v>5759.8980000000001</v>
      </c>
      <c r="M1409" s="38">
        <f t="shared" si="440"/>
        <v>1325.0282953761216</v>
      </c>
      <c r="N1409" s="12" t="e">
        <f t="shared" si="441"/>
        <v>#REF!</v>
      </c>
      <c r="O1409" s="12" t="e">
        <f t="shared" si="442"/>
        <v>#REF!</v>
      </c>
      <c r="P1409" s="12" t="e">
        <f t="shared" si="443"/>
        <v>#REF!</v>
      </c>
    </row>
    <row r="1410" spans="1:16" ht="15.75" hidden="1" x14ac:dyDescent="0.25">
      <c r="A1410" s="49">
        <v>25</v>
      </c>
      <c r="B1410" s="49">
        <v>46</v>
      </c>
      <c r="C1410" s="50" t="s">
        <v>1744</v>
      </c>
      <c r="D1410" s="51" t="s">
        <v>1002</v>
      </c>
      <c r="E1410" s="52" t="s">
        <v>1003</v>
      </c>
      <c r="F1410" s="53"/>
      <c r="G1410" s="53">
        <v>5.3440000000000003</v>
      </c>
      <c r="H1410" s="53">
        <v>1.7999999999999999E-2</v>
      </c>
      <c r="I1410" s="12">
        <f t="shared" si="438"/>
        <v>5.3620000000000001</v>
      </c>
      <c r="J1410" s="52">
        <v>9328.8359999999993</v>
      </c>
      <c r="K1410" s="52"/>
      <c r="L1410" s="52">
        <f t="shared" si="439"/>
        <v>9328.8359999999993</v>
      </c>
      <c r="M1410" s="52">
        <f t="shared" si="440"/>
        <v>1739.8052965311449</v>
      </c>
      <c r="N1410" s="12" t="e">
        <f t="shared" si="441"/>
        <v>#REF!</v>
      </c>
      <c r="O1410" s="12" t="e">
        <f t="shared" si="442"/>
        <v>#REF!</v>
      </c>
      <c r="P1410" s="12" t="e">
        <f t="shared" si="443"/>
        <v>#REF!</v>
      </c>
    </row>
    <row r="1411" spans="1:16" ht="15.75" hidden="1" x14ac:dyDescent="0.25">
      <c r="A1411" s="49">
        <v>25</v>
      </c>
      <c r="B1411" s="49">
        <v>47</v>
      </c>
      <c r="C1411" s="50" t="s">
        <v>1744</v>
      </c>
      <c r="D1411" s="51" t="s">
        <v>1004</v>
      </c>
      <c r="E1411" s="52" t="s">
        <v>1005</v>
      </c>
      <c r="F1411" s="53"/>
      <c r="G1411" s="53">
        <v>26.303999999999998</v>
      </c>
      <c r="H1411" s="53">
        <v>0.188</v>
      </c>
      <c r="I1411" s="12">
        <f t="shared" si="438"/>
        <v>26.491999999999997</v>
      </c>
      <c r="J1411" s="52">
        <v>35996.286</v>
      </c>
      <c r="K1411" s="52"/>
      <c r="L1411" s="52">
        <f t="shared" si="439"/>
        <v>35996.286</v>
      </c>
      <c r="M1411" s="52">
        <f t="shared" si="440"/>
        <v>1358.760606975691</v>
      </c>
      <c r="N1411" s="12" t="e">
        <f t="shared" si="441"/>
        <v>#REF!</v>
      </c>
      <c r="O1411" s="12" t="e">
        <f t="shared" si="442"/>
        <v>#REF!</v>
      </c>
      <c r="P1411" s="12" t="e">
        <f t="shared" si="443"/>
        <v>#REF!</v>
      </c>
    </row>
    <row r="1412" spans="1:16" ht="15.75" hidden="1" x14ac:dyDescent="0.25">
      <c r="A1412" s="49">
        <v>25</v>
      </c>
      <c r="B1412" s="49">
        <v>48</v>
      </c>
      <c r="C1412" s="50" t="s">
        <v>1744</v>
      </c>
      <c r="D1412" s="51" t="s">
        <v>1006</v>
      </c>
      <c r="E1412" s="52" t="s">
        <v>1007</v>
      </c>
      <c r="F1412" s="53"/>
      <c r="G1412" s="53">
        <v>2.9180000000000001</v>
      </c>
      <c r="H1412" s="53">
        <v>3.1E-2</v>
      </c>
      <c r="I1412" s="12">
        <f t="shared" si="438"/>
        <v>2.9490000000000003</v>
      </c>
      <c r="J1412" s="52">
        <v>3192.4560000000001</v>
      </c>
      <c r="K1412" s="52"/>
      <c r="L1412" s="52">
        <f t="shared" si="439"/>
        <v>3192.4560000000001</v>
      </c>
      <c r="M1412" s="52">
        <f t="shared" si="440"/>
        <v>1082.5554425228891</v>
      </c>
      <c r="N1412" s="12" t="e">
        <f t="shared" si="441"/>
        <v>#REF!</v>
      </c>
      <c r="O1412" s="12" t="e">
        <f t="shared" si="442"/>
        <v>#REF!</v>
      </c>
      <c r="P1412" s="12" t="e">
        <f t="shared" si="443"/>
        <v>#REF!</v>
      </c>
    </row>
    <row r="1413" spans="1:16" ht="15.75" hidden="1" x14ac:dyDescent="0.25">
      <c r="A1413" s="49">
        <v>25</v>
      </c>
      <c r="B1413" s="49">
        <v>49</v>
      </c>
      <c r="C1413" s="50" t="s">
        <v>1744</v>
      </c>
      <c r="D1413" s="51" t="s">
        <v>1008</v>
      </c>
      <c r="E1413" s="52" t="s">
        <v>1009</v>
      </c>
      <c r="F1413" s="53"/>
      <c r="G1413" s="53">
        <v>2.5960000000000001</v>
      </c>
      <c r="H1413" s="53">
        <v>1.9E-2</v>
      </c>
      <c r="I1413" s="12">
        <f t="shared" si="438"/>
        <v>2.6150000000000002</v>
      </c>
      <c r="J1413" s="52">
        <v>1595.61</v>
      </c>
      <c r="K1413" s="52"/>
      <c r="L1413" s="52">
        <f t="shared" si="439"/>
        <v>1595.61</v>
      </c>
      <c r="M1413" s="52">
        <f t="shared" si="440"/>
        <v>610.17590822179727</v>
      </c>
      <c r="N1413" s="12" t="e">
        <f t="shared" si="441"/>
        <v>#REF!</v>
      </c>
      <c r="O1413" s="12" t="e">
        <f t="shared" si="442"/>
        <v>#REF!</v>
      </c>
      <c r="P1413" s="12" t="e">
        <f t="shared" si="443"/>
        <v>#REF!</v>
      </c>
    </row>
    <row r="1414" spans="1:16" ht="15.75" hidden="1" x14ac:dyDescent="0.25">
      <c r="A1414" s="49">
        <v>25</v>
      </c>
      <c r="B1414" s="49">
        <v>50</v>
      </c>
      <c r="C1414" s="50" t="s">
        <v>1744</v>
      </c>
      <c r="D1414" s="51" t="s">
        <v>1010</v>
      </c>
      <c r="E1414" s="52" t="s">
        <v>1011</v>
      </c>
      <c r="F1414" s="53"/>
      <c r="G1414" s="53">
        <v>23.257999999999999</v>
      </c>
      <c r="H1414" s="53">
        <v>0.192</v>
      </c>
      <c r="I1414" s="12">
        <f t="shared" si="438"/>
        <v>23.45</v>
      </c>
      <c r="J1414" s="52">
        <v>34250.021999999997</v>
      </c>
      <c r="K1414" s="52"/>
      <c r="L1414" s="52">
        <f t="shared" si="439"/>
        <v>34250.021999999997</v>
      </c>
      <c r="M1414" s="52">
        <f t="shared" si="440"/>
        <v>1460.5553091684435</v>
      </c>
      <c r="N1414" s="12" t="e">
        <f t="shared" si="441"/>
        <v>#REF!</v>
      </c>
      <c r="O1414" s="12" t="e">
        <f t="shared" si="442"/>
        <v>#REF!</v>
      </c>
      <c r="P1414" s="12" t="e">
        <f t="shared" si="443"/>
        <v>#REF!</v>
      </c>
    </row>
    <row r="1415" spans="1:16" ht="15.75" hidden="1" x14ac:dyDescent="0.25">
      <c r="A1415" s="49">
        <v>25</v>
      </c>
      <c r="B1415" s="49">
        <v>51</v>
      </c>
      <c r="C1415" s="50" t="s">
        <v>1744</v>
      </c>
      <c r="D1415" s="51" t="s">
        <v>1012</v>
      </c>
      <c r="E1415" s="52" t="s">
        <v>1013</v>
      </c>
      <c r="F1415" s="53"/>
      <c r="G1415" s="53">
        <v>15.901</v>
      </c>
      <c r="H1415" s="53">
        <v>0.221</v>
      </c>
      <c r="I1415" s="12">
        <f t="shared" si="438"/>
        <v>16.122</v>
      </c>
      <c r="J1415" s="52">
        <v>15344.962</v>
      </c>
      <c r="K1415" s="52"/>
      <c r="L1415" s="52">
        <f t="shared" si="439"/>
        <v>15344.962</v>
      </c>
      <c r="M1415" s="52">
        <f t="shared" si="440"/>
        <v>951.80262994665668</v>
      </c>
      <c r="N1415" s="12" t="e">
        <f t="shared" si="441"/>
        <v>#REF!</v>
      </c>
      <c r="O1415" s="12" t="e">
        <f t="shared" si="442"/>
        <v>#REF!</v>
      </c>
      <c r="P1415" s="12" t="e">
        <f t="shared" si="443"/>
        <v>#REF!</v>
      </c>
    </row>
    <row r="1416" spans="1:16" ht="15.75" hidden="1" x14ac:dyDescent="0.25">
      <c r="A1416" s="49">
        <v>25</v>
      </c>
      <c r="B1416" s="49">
        <v>52</v>
      </c>
      <c r="C1416" s="50" t="s">
        <v>1744</v>
      </c>
      <c r="D1416" s="51" t="s">
        <v>1014</v>
      </c>
      <c r="E1416" s="52" t="s">
        <v>1015</v>
      </c>
      <c r="F1416" s="53"/>
      <c r="G1416" s="53">
        <v>4.68</v>
      </c>
      <c r="H1416" s="53">
        <v>0.05</v>
      </c>
      <c r="I1416" s="12">
        <f t="shared" si="438"/>
        <v>4.7299999999999995</v>
      </c>
      <c r="J1416" s="52">
        <v>5627.01</v>
      </c>
      <c r="K1416" s="52"/>
      <c r="L1416" s="52">
        <f t="shared" si="439"/>
        <v>5627.01</v>
      </c>
      <c r="M1416" s="52">
        <f t="shared" si="440"/>
        <v>1189.6427061310783</v>
      </c>
      <c r="N1416" s="12" t="e">
        <f t="shared" si="441"/>
        <v>#REF!</v>
      </c>
      <c r="O1416" s="12" t="e">
        <f t="shared" si="442"/>
        <v>#REF!</v>
      </c>
      <c r="P1416" s="12" t="e">
        <f t="shared" si="443"/>
        <v>#REF!</v>
      </c>
    </row>
    <row r="1417" spans="1:16" ht="15.75" hidden="1" x14ac:dyDescent="0.25">
      <c r="A1417" s="49">
        <v>25</v>
      </c>
      <c r="B1417" s="49">
        <v>53</v>
      </c>
      <c r="C1417" s="50" t="s">
        <v>1744</v>
      </c>
      <c r="D1417" s="51" t="s">
        <v>1016</v>
      </c>
      <c r="E1417" s="52" t="s">
        <v>1017</v>
      </c>
      <c r="F1417" s="53"/>
      <c r="G1417" s="53">
        <v>3.7360000000000002</v>
      </c>
      <c r="H1417" s="53">
        <v>3.0000000000000001E-3</v>
      </c>
      <c r="I1417" s="12">
        <f t="shared" si="438"/>
        <v>3.7390000000000003</v>
      </c>
      <c r="J1417" s="52">
        <v>3351.924</v>
      </c>
      <c r="K1417" s="52"/>
      <c r="L1417" s="52">
        <f t="shared" si="439"/>
        <v>3351.924</v>
      </c>
      <c r="M1417" s="52">
        <f t="shared" si="440"/>
        <v>896.47606311848074</v>
      </c>
      <c r="N1417" s="12" t="e">
        <f t="shared" si="441"/>
        <v>#REF!</v>
      </c>
      <c r="O1417" s="12" t="e">
        <f t="shared" si="442"/>
        <v>#REF!</v>
      </c>
      <c r="P1417" s="12" t="e">
        <f t="shared" si="443"/>
        <v>#REF!</v>
      </c>
    </row>
    <row r="1418" spans="1:16" ht="15.75" hidden="1" x14ac:dyDescent="0.25">
      <c r="A1418" s="49">
        <v>25</v>
      </c>
      <c r="B1418" s="49">
        <v>54</v>
      </c>
      <c r="C1418" s="50" t="s">
        <v>1744</v>
      </c>
      <c r="D1418" s="51" t="s">
        <v>1018</v>
      </c>
      <c r="E1418" s="52" t="s">
        <v>1019</v>
      </c>
      <c r="F1418" s="53"/>
      <c r="G1418" s="53">
        <v>14.766999999999999</v>
      </c>
      <c r="H1418" s="53">
        <v>8.5000000000000006E-2</v>
      </c>
      <c r="I1418" s="12">
        <f t="shared" si="438"/>
        <v>14.852</v>
      </c>
      <c r="J1418" s="52">
        <v>16347.804</v>
      </c>
      <c r="K1418" s="52"/>
      <c r="L1418" s="52">
        <f t="shared" si="439"/>
        <v>16347.804</v>
      </c>
      <c r="M1418" s="52">
        <f t="shared" si="440"/>
        <v>1100.7139779154322</v>
      </c>
      <c r="N1418" s="12" t="e">
        <f t="shared" si="441"/>
        <v>#REF!</v>
      </c>
      <c r="O1418" s="12" t="e">
        <f t="shared" si="442"/>
        <v>#REF!</v>
      </c>
      <c r="P1418" s="12" t="e">
        <f t="shared" si="443"/>
        <v>#REF!</v>
      </c>
    </row>
    <row r="1419" spans="1:16" ht="15.75" hidden="1" x14ac:dyDescent="0.25">
      <c r="A1419" s="49">
        <v>25</v>
      </c>
      <c r="B1419" s="49">
        <v>55</v>
      </c>
      <c r="C1419" s="50" t="s">
        <v>1744</v>
      </c>
      <c r="D1419" s="51" t="s">
        <v>1020</v>
      </c>
      <c r="E1419" s="52" t="s">
        <v>1021</v>
      </c>
      <c r="F1419" s="53"/>
      <c r="G1419" s="53">
        <v>10.82</v>
      </c>
      <c r="H1419" s="53">
        <v>7.0999999999999994E-2</v>
      </c>
      <c r="I1419" s="12">
        <f t="shared" si="438"/>
        <v>10.891</v>
      </c>
      <c r="J1419" s="52">
        <v>11952.072</v>
      </c>
      <c r="K1419" s="52"/>
      <c r="L1419" s="52">
        <f t="shared" si="439"/>
        <v>11952.072</v>
      </c>
      <c r="M1419" s="52">
        <f t="shared" si="440"/>
        <v>1097.4264989440824</v>
      </c>
      <c r="N1419" s="12" t="e">
        <f t="shared" si="441"/>
        <v>#REF!</v>
      </c>
      <c r="O1419" s="12" t="e">
        <f t="shared" si="442"/>
        <v>#REF!</v>
      </c>
      <c r="P1419" s="12" t="e">
        <f t="shared" si="443"/>
        <v>#REF!</v>
      </c>
    </row>
    <row r="1420" spans="1:16" ht="15.75" hidden="1" x14ac:dyDescent="0.25">
      <c r="A1420" s="49">
        <v>25</v>
      </c>
      <c r="B1420" s="49">
        <v>56</v>
      </c>
      <c r="C1420" s="50" t="s">
        <v>1744</v>
      </c>
      <c r="D1420" s="51" t="s">
        <v>1022</v>
      </c>
      <c r="E1420" s="52" t="s">
        <v>1023</v>
      </c>
      <c r="F1420" s="53"/>
      <c r="G1420" s="53">
        <v>10.754</v>
      </c>
      <c r="H1420" s="53">
        <v>0.16200000000000001</v>
      </c>
      <c r="I1420" s="12">
        <f t="shared" si="438"/>
        <v>10.916</v>
      </c>
      <c r="J1420" s="52">
        <v>13828.698</v>
      </c>
      <c r="K1420" s="52"/>
      <c r="L1420" s="52">
        <f t="shared" si="439"/>
        <v>13828.698</v>
      </c>
      <c r="M1420" s="52">
        <f t="shared" si="440"/>
        <v>1266.8283253939171</v>
      </c>
      <c r="N1420" s="12" t="e">
        <f t="shared" si="441"/>
        <v>#REF!</v>
      </c>
      <c r="O1420" s="12" t="e">
        <f t="shared" si="442"/>
        <v>#REF!</v>
      </c>
      <c r="P1420" s="12" t="e">
        <f t="shared" si="443"/>
        <v>#REF!</v>
      </c>
    </row>
    <row r="1421" spans="1:16" ht="15.75" hidden="1" x14ac:dyDescent="0.25">
      <c r="A1421" s="49">
        <v>25</v>
      </c>
      <c r="B1421" s="49">
        <v>57</v>
      </c>
      <c r="C1421" s="50" t="s">
        <v>1744</v>
      </c>
      <c r="D1421" s="51" t="s">
        <v>1024</v>
      </c>
      <c r="E1421" s="52" t="s">
        <v>1025</v>
      </c>
      <c r="F1421" s="53"/>
      <c r="G1421" s="53">
        <v>7.7220000000000004</v>
      </c>
      <c r="H1421" s="53">
        <v>0.106</v>
      </c>
      <c r="I1421" s="12">
        <f t="shared" si="438"/>
        <v>7.8280000000000003</v>
      </c>
      <c r="J1421" s="52">
        <v>11726.843999999999</v>
      </c>
      <c r="K1421" s="52"/>
      <c r="L1421" s="52">
        <f t="shared" si="439"/>
        <v>11726.843999999999</v>
      </c>
      <c r="M1421" s="52">
        <f t="shared" si="440"/>
        <v>1498.0638732754214</v>
      </c>
      <c r="N1421" s="12" t="e">
        <f t="shared" si="441"/>
        <v>#REF!</v>
      </c>
      <c r="O1421" s="12" t="e">
        <f t="shared" si="442"/>
        <v>#REF!</v>
      </c>
      <c r="P1421" s="12" t="e">
        <f t="shared" si="443"/>
        <v>#REF!</v>
      </c>
    </row>
    <row r="1422" spans="1:16" ht="31.5" hidden="1" x14ac:dyDescent="0.25">
      <c r="A1422" s="49">
        <v>25</v>
      </c>
      <c r="B1422" s="49">
        <v>58</v>
      </c>
      <c r="C1422" s="50" t="s">
        <v>1744</v>
      </c>
      <c r="D1422" s="51" t="s">
        <v>1026</v>
      </c>
      <c r="E1422" s="52" t="s">
        <v>1027</v>
      </c>
      <c r="F1422" s="53"/>
      <c r="G1422" s="53">
        <v>5.0179999999999998</v>
      </c>
      <c r="H1422" s="53">
        <v>3.5000000000000003E-2</v>
      </c>
      <c r="I1422" s="12">
        <f t="shared" si="438"/>
        <v>5.0529999999999999</v>
      </c>
      <c r="J1422" s="52">
        <f>4461.174+449.046</f>
        <v>4910.22</v>
      </c>
      <c r="K1422" s="52"/>
      <c r="L1422" s="52">
        <f t="shared" si="439"/>
        <v>4910.22</v>
      </c>
      <c r="M1422" s="52">
        <f t="shared" si="440"/>
        <v>971.74351870176145</v>
      </c>
      <c r="N1422" s="12" t="e">
        <f t="shared" si="441"/>
        <v>#REF!</v>
      </c>
      <c r="O1422" s="12" t="e">
        <f t="shared" si="442"/>
        <v>#REF!</v>
      </c>
      <c r="P1422" s="12" t="e">
        <f t="shared" si="443"/>
        <v>#REF!</v>
      </c>
    </row>
    <row r="1423" spans="1:16" ht="31.5" hidden="1" x14ac:dyDescent="0.25">
      <c r="A1423" s="49">
        <v>25</v>
      </c>
      <c r="B1423" s="49">
        <v>59</v>
      </c>
      <c r="C1423" s="50" t="s">
        <v>1744</v>
      </c>
      <c r="D1423" s="51" t="s">
        <v>1028</v>
      </c>
      <c r="E1423" s="52" t="s">
        <v>1029</v>
      </c>
      <c r="F1423" s="53"/>
      <c r="G1423" s="53">
        <v>2.8889999999999998</v>
      </c>
      <c r="H1423" s="53">
        <v>1.9E-2</v>
      </c>
      <c r="I1423" s="12">
        <f t="shared" si="438"/>
        <v>2.9079999999999999</v>
      </c>
      <c r="J1423" s="52">
        <f>4566.912+541.44591</f>
        <v>5108.3579100000006</v>
      </c>
      <c r="K1423" s="52"/>
      <c r="L1423" s="52">
        <f t="shared" si="439"/>
        <v>5108.3579100000006</v>
      </c>
      <c r="M1423" s="52">
        <f t="shared" si="440"/>
        <v>1756.6567778541955</v>
      </c>
      <c r="N1423" s="12" t="e">
        <f t="shared" si="441"/>
        <v>#REF!</v>
      </c>
      <c r="O1423" s="12" t="e">
        <f t="shared" si="442"/>
        <v>#REF!</v>
      </c>
      <c r="P1423" s="12" t="e">
        <f t="shared" si="443"/>
        <v>#REF!</v>
      </c>
    </row>
    <row r="1424" spans="1:16" ht="18.75" hidden="1" x14ac:dyDescent="0.3">
      <c r="A1424" s="49">
        <v>25</v>
      </c>
      <c r="B1424" s="49">
        <v>60</v>
      </c>
      <c r="C1424" t="s">
        <v>1744</v>
      </c>
      <c r="D1424" s="61" t="s">
        <v>33</v>
      </c>
      <c r="E1424" s="63" t="s">
        <v>34</v>
      </c>
      <c r="F1424" s="53"/>
      <c r="G1424" s="53">
        <v>4.7140000000000004</v>
      </c>
      <c r="H1424" s="53">
        <v>5.1999999999999998E-2</v>
      </c>
      <c r="I1424" s="12">
        <f t="shared" si="438"/>
        <v>4.766</v>
      </c>
      <c r="J1424" s="52">
        <v>3581.2440000000001</v>
      </c>
      <c r="K1424" s="52"/>
      <c r="L1424" s="52">
        <f>J1424+K1424</f>
        <v>3581.2440000000001</v>
      </c>
      <c r="M1424" s="52">
        <f>L1424/I1424</f>
        <v>751.41502308015106</v>
      </c>
      <c r="N1424" s="12" t="e">
        <f t="shared" si="441"/>
        <v>#REF!</v>
      </c>
      <c r="O1424" s="12" t="e">
        <f t="shared" si="442"/>
        <v>#REF!</v>
      </c>
      <c r="P1424" s="12" t="e">
        <f t="shared" si="443"/>
        <v>#REF!</v>
      </c>
    </row>
    <row r="1425" spans="1:16" ht="18.75" hidden="1" x14ac:dyDescent="0.3">
      <c r="A1425" s="49">
        <v>25</v>
      </c>
      <c r="B1425" s="49">
        <v>61</v>
      </c>
      <c r="C1425" t="s">
        <v>1744</v>
      </c>
      <c r="D1425" s="61" t="s">
        <v>35</v>
      </c>
      <c r="E1425" s="63" t="s">
        <v>36</v>
      </c>
      <c r="F1425" s="53"/>
      <c r="G1425" s="53">
        <v>8.7710000000000008</v>
      </c>
      <c r="H1425" s="53">
        <v>5.7000000000000002E-2</v>
      </c>
      <c r="I1425" s="12">
        <f t="shared" si="438"/>
        <v>8.8280000000000012</v>
      </c>
      <c r="J1425" s="52">
        <v>32379.516</v>
      </c>
      <c r="K1425" s="52"/>
      <c r="L1425" s="52">
        <f>J1425+K1425</f>
        <v>32379.516</v>
      </c>
      <c r="M1425" s="52">
        <f>L1425/I1425</f>
        <v>3667.8201178069771</v>
      </c>
      <c r="N1425" s="12" t="e">
        <f t="shared" si="441"/>
        <v>#REF!</v>
      </c>
      <c r="O1425" s="12" t="e">
        <f t="shared" si="442"/>
        <v>#REF!</v>
      </c>
      <c r="P1425" s="12" t="e">
        <f t="shared" si="443"/>
        <v>#REF!</v>
      </c>
    </row>
    <row r="1426" spans="1:16" ht="18.75" hidden="1" x14ac:dyDescent="0.3">
      <c r="A1426" s="49">
        <v>25</v>
      </c>
      <c r="B1426" s="49">
        <v>62</v>
      </c>
      <c r="C1426" t="s">
        <v>1744</v>
      </c>
      <c r="D1426" s="61" t="s">
        <v>37</v>
      </c>
      <c r="E1426" s="63" t="s">
        <v>38</v>
      </c>
      <c r="F1426" s="53"/>
      <c r="G1426" s="53">
        <v>19.105</v>
      </c>
      <c r="H1426" s="53">
        <v>0.107</v>
      </c>
      <c r="I1426" s="12">
        <f t="shared" si="438"/>
        <v>19.212</v>
      </c>
      <c r="J1426" s="52">
        <v>17702.598000000002</v>
      </c>
      <c r="K1426" s="52"/>
      <c r="L1426" s="52">
        <f>J1426+K1426</f>
        <v>17702.598000000002</v>
      </c>
      <c r="M1426" s="52">
        <f>L1426/I1426</f>
        <v>921.4344159900063</v>
      </c>
      <c r="N1426" s="12" t="e">
        <f t="shared" si="441"/>
        <v>#REF!</v>
      </c>
      <c r="O1426" s="12" t="e">
        <f t="shared" si="442"/>
        <v>#REF!</v>
      </c>
      <c r="P1426" s="12" t="e">
        <f t="shared" si="443"/>
        <v>#REF!</v>
      </c>
    </row>
    <row r="1427" spans="1:16" ht="18.75" hidden="1" x14ac:dyDescent="0.3">
      <c r="A1427" s="49">
        <v>25</v>
      </c>
      <c r="B1427" s="49">
        <v>63</v>
      </c>
      <c r="C1427" t="s">
        <v>1744</v>
      </c>
      <c r="D1427" s="61" t="s">
        <v>39</v>
      </c>
      <c r="E1427" s="63" t="s">
        <v>40</v>
      </c>
      <c r="F1427" s="53"/>
      <c r="G1427" s="53">
        <v>3.6259999999999999</v>
      </c>
      <c r="H1427" s="53">
        <v>5.5E-2</v>
      </c>
      <c r="I1427" s="12">
        <f t="shared" si="438"/>
        <v>3.681</v>
      </c>
      <c r="J1427" s="52">
        <v>7965.5159999999996</v>
      </c>
      <c r="K1427" s="52"/>
      <c r="L1427" s="52">
        <f>J1427+K1427</f>
        <v>7965.5159999999996</v>
      </c>
      <c r="M1427" s="52">
        <f>L1427/I1427</f>
        <v>2163.9543602281988</v>
      </c>
      <c r="N1427" s="12" t="e">
        <f t="shared" si="441"/>
        <v>#REF!</v>
      </c>
      <c r="O1427" s="12" t="e">
        <f t="shared" si="442"/>
        <v>#REF!</v>
      </c>
      <c r="P1427" s="12" t="e">
        <f t="shared" si="443"/>
        <v>#REF!</v>
      </c>
    </row>
    <row r="1428" spans="1:16" s="75" customFormat="1" ht="15.75" hidden="1" x14ac:dyDescent="0.25">
      <c r="A1428" s="72">
        <v>26</v>
      </c>
      <c r="B1428" s="72" t="s">
        <v>1126</v>
      </c>
      <c r="C1428" s="73" t="s">
        <v>1161</v>
      </c>
      <c r="D1428" s="74" t="s">
        <v>2597</v>
      </c>
      <c r="E1428" s="71" t="s">
        <v>1808</v>
      </c>
      <c r="F1428" s="76"/>
      <c r="G1428" s="76">
        <v>2925.76</v>
      </c>
      <c r="H1428" s="76">
        <v>154.809</v>
      </c>
      <c r="I1428" s="71">
        <f>G1428+H1428</f>
        <v>3080.5690000000004</v>
      </c>
      <c r="J1428" s="71"/>
      <c r="K1428" s="71">
        <f>1320.657*0.6+62010.5*0.6+13121.6*0.6</f>
        <v>45871.654199999997</v>
      </c>
      <c r="L1428" s="71"/>
      <c r="M1428" s="71"/>
      <c r="N1428" s="71"/>
      <c r="O1428" s="71"/>
      <c r="P1428" s="71"/>
    </row>
    <row r="1429" spans="1:16" ht="20.25" hidden="1" customHeight="1" x14ac:dyDescent="0.25">
      <c r="A1429" s="17" t="s">
        <v>1126</v>
      </c>
      <c r="B1429" s="17" t="s">
        <v>1126</v>
      </c>
      <c r="C1429" s="4" t="s">
        <v>1161</v>
      </c>
      <c r="D1429" s="36"/>
      <c r="E1429" s="7" t="s">
        <v>85</v>
      </c>
      <c r="F1429" s="4"/>
      <c r="G1429" s="80" t="e">
        <f>G5+G77+G142+G238+G297+G375+G404+G470+G518+G569+G612+G656+#REF!+G773+G836+G911+G961+G1019+G1085+G1136+G1189+G1259+G1316+G1360</f>
        <v>#REF!</v>
      </c>
      <c r="H1429" s="80" t="e">
        <f>H5+H77+H142+H238+H297+H375+H404+H470+H518+H569+H612+H656+#REF!+H773+H836+H911+H961+H1019+H1085+H1136+H1189+H1259+H1316+H1360</f>
        <v>#REF!</v>
      </c>
      <c r="I1429" s="80" t="e">
        <f>I5+I77+I142+I238+I297+I375+I404+I470+I518+I569+I612+I656+#REF!+I773+I836+I911+I961+I1019+I1085+I1136+I1189+I1259+I1316+I1360</f>
        <v>#REF!</v>
      </c>
      <c r="J1429" s="7" t="e">
        <f>J5+J77+J142+J238+J297+J375+J404+J470+J518+J569+J612+J656+#REF!+J773+J836+J911+J961+J1019+J1085+J1136+J1189+J1259+J1316+J1360</f>
        <v>#REF!</v>
      </c>
      <c r="K1429" s="65" t="e">
        <f>K5+K77+K142+K238+K297+K375+K404+K470+K518+K569+K612+K656+#REF!+K773+K836+K911+K961+K1019+K1085+K1136+K1189+K1259+K1316+K1360+K1428</f>
        <v>#REF!</v>
      </c>
      <c r="L1429" s="7" t="e">
        <f>L5+L77+L142+L238+L297+L375+L404+L470+L518+L569+L612+L656+#REF!+L773+L836+L911+L961+L1019+L1085+L1136+L1189+L1259+L1316+L1360</f>
        <v>#REF!</v>
      </c>
      <c r="M1429" s="77" t="e">
        <f>L1429/I1429</f>
        <v>#REF!</v>
      </c>
      <c r="N1429" s="7" t="e">
        <f>M1429/$M$1429</f>
        <v>#REF!</v>
      </c>
      <c r="O1429" s="7" t="e">
        <f>O5+O77+O142+O238+O297+O375+O404+O470+O518+O569+O612+O656+#REF!+O773+O836+O911+O961+O1019+O1085+O1136+O1189+O1259+O1316+O1360</f>
        <v>#REF!</v>
      </c>
      <c r="P1429" s="7" t="e">
        <f>P5+P77+P142+P238+P297+P375+P404+P470+P518+P569+P612+P656+#REF!+P773+P836+P911+P961+P1019+P1085+P1136+P1189+P1259+P1316+P1360</f>
        <v>#REF!</v>
      </c>
    </row>
    <row r="1430" spans="1:16" ht="15" hidden="1" x14ac:dyDescent="0.25">
      <c r="J1430" s="40"/>
      <c r="K1430" s="40"/>
      <c r="M1430" s="78"/>
    </row>
    <row r="1431" spans="1:16" ht="15.75" hidden="1" x14ac:dyDescent="0.25">
      <c r="C1431" t="s">
        <v>1127</v>
      </c>
      <c r="E1431" s="12" t="s">
        <v>43</v>
      </c>
      <c r="F1431" s="12"/>
      <c r="G1431" s="12"/>
      <c r="H1431" s="12"/>
      <c r="I1431" s="12" t="e">
        <f>I7+I79+I144+I240+I299+I377+I406+I472+I520+I571+I614+I658+#REF!+I775+I838+I913+I963+I1021+I1087+I1138+I1191+I1261+I1318+I1362</f>
        <v>#REF!</v>
      </c>
      <c r="J1431" s="12" t="e">
        <f>J7+J79+J144+J240+J299+J377+J406+J472+J520+J571+J614+J658+#REF!+J775+J838+J913+J963+J1021+J1087+J1138+J1191+J1261+J1318+J1362</f>
        <v>#REF!</v>
      </c>
      <c r="K1431" s="12" t="e">
        <f>K7+K79+K144+K240+K299+K377+K406+K472+K520+K571+K614+K658+#REF!+K775+K838+K913+K963+K1021+K1087+K1138+K1191+K1261+K1318+K1362</f>
        <v>#REF!</v>
      </c>
      <c r="L1431" s="12" t="e">
        <f>L7+L79+L144+L240+L299+L377+L406+L472+L520+L571+L614+L658+#REF!+L775+L838+L913+L963+L1021+L1087+L1138+L1191+L1261+L1318+L1362</f>
        <v>#REF!</v>
      </c>
      <c r="M1431" s="79" t="e">
        <f>L1431/I1431</f>
        <v>#REF!</v>
      </c>
      <c r="N1431" s="12"/>
      <c r="O1431" s="12" t="e">
        <f>O7+O79+O144+O240+O299+O377+O406+O472+O520+O571+O614+O658+#REF!+O775+O838+O913+O963+O1021+O1087+O1138+O1191+O1261+O1318+O1362</f>
        <v>#REF!</v>
      </c>
      <c r="P1431" s="12" t="e">
        <f>P7+P79+P144+P240+P299+P377+P406+P472+P520+P571+P614+P658+#REF!+P775+P838+P913+P963+P1021+P1087+P1138+P1191+P1261+P1318+P1362</f>
        <v>#REF!</v>
      </c>
    </row>
    <row r="1432" spans="1:16" ht="15.75" hidden="1" x14ac:dyDescent="0.25">
      <c r="C1432" t="s">
        <v>1157</v>
      </c>
      <c r="E1432" s="12" t="s">
        <v>41</v>
      </c>
      <c r="F1432" s="12"/>
      <c r="G1432" s="12"/>
      <c r="H1432" s="12"/>
      <c r="I1432" s="12" t="e">
        <f>I14+I84+I158+I269+I305+I383+I412+I479+I533+I576+I629+I668+#REF!+I783+I845+I918+I971+I1026+I1095+I1143+I1198+I1268+I1321+I1367</f>
        <v>#REF!</v>
      </c>
      <c r="J1432" s="12" t="e">
        <f>J14+J84+J158+J269+J305+J383+J412+J479+J533+J576+J629+J668+#REF!+J783+J845+J918+J971+J1026+J1095+J1143+J1198+J1268+J1321+J1367</f>
        <v>#REF!</v>
      </c>
      <c r="K1432" s="12" t="e">
        <f>K14+K84+K158+K269+K305+K383+K412+K479+K533+K576+K629+K668+#REF!+K783+K845+K918+K971+K1026+K1095+K1143+K1198+K1268+K1321+K1367</f>
        <v>#REF!</v>
      </c>
      <c r="L1432" s="12" t="e">
        <f>L14+L84+L158+L269+L305+L383+L412+L479+L533+L576+L629+L668+#REF!+L783+L845+L918+L971+L1026+L1095+L1143+L1198+L1268+L1321+L1367</f>
        <v>#REF!</v>
      </c>
      <c r="M1432" s="79" t="e">
        <f>L1432/I1432</f>
        <v>#REF!</v>
      </c>
      <c r="N1432" s="12"/>
      <c r="O1432" s="12" t="e">
        <f>O14+O84+O158+O269+O305+O383+O412+O479+O533+O576+O629+O668+#REF!+O783+O845+O918+O971+O1026+O1095+O1143+O1198+O1268+O1321+O1367</f>
        <v>#REF!</v>
      </c>
      <c r="P1432" s="12" t="e">
        <f>P14+P84+P158+P269+P305+P383+P412+P479+P533+P576+P629+P668+#REF!+P783+P845+P918+P971+P1026+P1095+P1143+P1198+P1268+P1321+P1367</f>
        <v>#REF!</v>
      </c>
    </row>
    <row r="1433" spans="1:16" ht="15.75" hidden="1" x14ac:dyDescent="0.25">
      <c r="C1433" t="s">
        <v>1743</v>
      </c>
      <c r="E1433" s="12" t="s">
        <v>42</v>
      </c>
      <c r="F1433" s="12"/>
      <c r="G1433" s="12"/>
      <c r="H1433" s="12"/>
      <c r="I1433" s="12" t="e">
        <f>I42+I101+I181+I287+I329+I397+I433+I494+I559+I598+I647+I689+#REF!+I810+I871+I935+I990+I1044+I1123+I1162+I1219+I1289+I1333+I1390</f>
        <v>#REF!</v>
      </c>
      <c r="J1433" s="12" t="e">
        <f>J42+J101+J181+J287+J329+J397+J433+J494+J559+J598+J647+J689+#REF!+J810+J871+J935+J990+J1044+J1123+J1162+J1219+J1289+J1333+J1390</f>
        <v>#REF!</v>
      </c>
      <c r="K1433" s="12" t="e">
        <f>K42+K101+K181+K287+K329+K397+K433+K494+K559+K598+K647+K689+#REF!+K810+K871+K935+K990+K1044+K1123+K1162+K1219+K1289+K1333+K1390</f>
        <v>#REF!</v>
      </c>
      <c r="L1433" s="12" t="e">
        <f>L42+L101+L181+L287+L329+L397+L433+L494+L559+L598+L647+L689+#REF!+L810+L871+L935+L990+L1044+L1123+L1162+L1219+L1289+L1333+L1390</f>
        <v>#REF!</v>
      </c>
      <c r="M1433" s="79" t="e">
        <f>L1433/I1433</f>
        <v>#REF!</v>
      </c>
      <c r="N1433" s="12"/>
      <c r="O1433" s="12" t="e">
        <f>O42+O101+O181+O287+O329+O397+O433+O494+O559+O598+O647+O689+#REF!+O810+O871+O935+O990+O1044+O1123+O1162+O1219+O1289+O1333+O1390</f>
        <v>#REF!</v>
      </c>
      <c r="P1433" s="12" t="e">
        <f>P42+P101+P181+P287+P329+P397+P433+P494+P559+P598+P647+P689+#REF!+P810+P871+P935+P990+P1044+P1123+P1162+P1219+P1289+P1333+P1390</f>
        <v>#REF!</v>
      </c>
    </row>
    <row r="1434" spans="1:16" ht="15.75" hidden="1" x14ac:dyDescent="0.25">
      <c r="E1434" s="68"/>
      <c r="F1434" s="68"/>
      <c r="G1434" s="68"/>
      <c r="H1434" s="68"/>
      <c r="I1434" s="68"/>
      <c r="J1434" s="68"/>
      <c r="K1434" s="68"/>
      <c r="L1434" s="68"/>
      <c r="M1434" s="68"/>
    </row>
    <row r="1435" spans="1:16" ht="15" hidden="1" x14ac:dyDescent="0.25">
      <c r="I1435" s="69" t="e">
        <f>I1431+I1432+I1433-I1429</f>
        <v>#REF!</v>
      </c>
      <c r="J1435" s="69" t="e">
        <f>J1431+J1432+J1433-J1429</f>
        <v>#REF!</v>
      </c>
      <c r="K1435" s="69" t="e">
        <f>K1431+K1432+K1433-K1429+K1428</f>
        <v>#REF!</v>
      </c>
      <c r="L1435" s="69" t="e">
        <f>L1431+L1432+L1433-L1429</f>
        <v>#REF!</v>
      </c>
    </row>
    <row r="1436" spans="1:16" ht="15" hidden="1" x14ac:dyDescent="0.25">
      <c r="I1436">
        <v>35878.737999999998</v>
      </c>
      <c r="J1436">
        <v>54085999.277400002</v>
      </c>
      <c r="K1436">
        <v>0</v>
      </c>
      <c r="L1436">
        <v>54040127.623199999</v>
      </c>
      <c r="M1436" s="45"/>
    </row>
    <row r="1437" spans="1:16" ht="15" hidden="1" x14ac:dyDescent="0.25">
      <c r="I1437" s="46" t="e">
        <f>I1436-I1429</f>
        <v>#REF!</v>
      </c>
      <c r="J1437" s="46" t="e">
        <f>J1436-J1429</f>
        <v>#REF!</v>
      </c>
      <c r="K1437" s="46" t="e">
        <f>K1436-K1429</f>
        <v>#REF!</v>
      </c>
      <c r="L1437" s="46" t="e">
        <f>L1436-L1429</f>
        <v>#REF!</v>
      </c>
      <c r="M1437" s="2"/>
      <c r="N1437" s="2"/>
      <c r="O1437" s="2"/>
      <c r="P1437" s="2"/>
    </row>
    <row r="1438" spans="1:16" x14ac:dyDescent="0.3">
      <c r="M1438" s="45"/>
    </row>
    <row r="1439" spans="1:16" x14ac:dyDescent="0.3">
      <c r="M1439" s="45"/>
    </row>
  </sheetData>
  <autoFilter ref="A4:P1429">
    <filterColumn colId="0">
      <filters>
        <filter val="14"/>
      </filters>
    </filterColumn>
  </autoFilter>
  <mergeCells count="16">
    <mergeCell ref="N3:N4"/>
    <mergeCell ref="O3:O4"/>
    <mergeCell ref="P3:P4"/>
    <mergeCell ref="E1:M1"/>
    <mergeCell ref="A3:B3"/>
    <mergeCell ref="C3:C4"/>
    <mergeCell ref="D3:D4"/>
    <mergeCell ref="E3:E4"/>
    <mergeCell ref="F3:F4"/>
    <mergeCell ref="I3:I4"/>
    <mergeCell ref="J3:J4"/>
    <mergeCell ref="K3:K4"/>
    <mergeCell ref="L3:L4"/>
    <mergeCell ref="G3:G4"/>
    <mergeCell ref="H3:H4"/>
    <mergeCell ref="M3:M4"/>
  </mergeCells>
  <phoneticPr fontId="0" type="noConversion"/>
  <printOptions horizontalCentered="1"/>
  <pageMargins left="0.51181102362204722" right="0.35433070866141736" top="0.31496062992125984" bottom="0.31496062992125984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abSelected="1" workbookViewId="0">
      <selection activeCell="A4" sqref="A4:E4"/>
    </sheetView>
  </sheetViews>
  <sheetFormatPr defaultRowHeight="13.8" x14ac:dyDescent="0.25"/>
  <cols>
    <col min="1" max="1" width="41" style="90" customWidth="1"/>
    <col min="2" max="2" width="20.33203125" style="90" customWidth="1"/>
    <col min="3" max="3" width="15.6640625" style="90" customWidth="1"/>
    <col min="4" max="4" width="13.88671875" style="90" customWidth="1"/>
    <col min="5" max="5" width="12.77734375" style="90" customWidth="1"/>
    <col min="6" max="16384" width="8.88671875" style="90"/>
  </cols>
  <sheetData>
    <row r="1" spans="1:5" x14ac:dyDescent="0.25">
      <c r="D1" s="96" t="s">
        <v>2695</v>
      </c>
    </row>
    <row r="2" spans="1:5" x14ac:dyDescent="0.25">
      <c r="D2" s="97" t="s">
        <v>2694</v>
      </c>
    </row>
    <row r="3" spans="1:5" ht="17.399999999999999" x14ac:dyDescent="0.25">
      <c r="A3" s="108" t="s">
        <v>2702</v>
      </c>
      <c r="B3" s="108"/>
      <c r="C3" s="108"/>
      <c r="D3" s="108"/>
      <c r="E3" s="108"/>
    </row>
    <row r="4" spans="1:5" ht="78" customHeight="1" x14ac:dyDescent="0.25">
      <c r="A4" s="112" t="s">
        <v>2699</v>
      </c>
      <c r="B4" s="112"/>
      <c r="C4" s="112"/>
      <c r="D4" s="112"/>
      <c r="E4" s="112"/>
    </row>
    <row r="5" spans="1:5" ht="47.4" customHeight="1" x14ac:dyDescent="0.25">
      <c r="A5" s="110" t="s">
        <v>2696</v>
      </c>
      <c r="B5" s="111" t="s">
        <v>2697</v>
      </c>
      <c r="C5" s="111" t="s">
        <v>121</v>
      </c>
      <c r="D5" s="111" t="s">
        <v>2701</v>
      </c>
      <c r="E5" s="109" t="s">
        <v>2700</v>
      </c>
    </row>
    <row r="6" spans="1:5" ht="10.8" customHeight="1" x14ac:dyDescent="0.25">
      <c r="A6" s="110"/>
      <c r="B6" s="111"/>
      <c r="C6" s="111"/>
      <c r="D6" s="111"/>
      <c r="E6" s="109"/>
    </row>
    <row r="7" spans="1:5" x14ac:dyDescent="0.25">
      <c r="A7" s="90" t="s">
        <v>338</v>
      </c>
      <c r="B7" s="90">
        <v>11.167999999999999</v>
      </c>
      <c r="C7" s="91">
        <v>3652.672</v>
      </c>
      <c r="D7" s="90">
        <v>327.10000000000002</v>
      </c>
      <c r="E7" s="90">
        <v>1.0934999999999999</v>
      </c>
    </row>
    <row r="8" spans="1:5" x14ac:dyDescent="0.25">
      <c r="A8" s="90" t="s">
        <v>811</v>
      </c>
      <c r="B8" s="90">
        <v>2.7829999999999999</v>
      </c>
      <c r="C8" s="91">
        <v>1535.36</v>
      </c>
      <c r="D8" s="90">
        <v>551.70000000000005</v>
      </c>
      <c r="E8" s="92">
        <v>1.0934999999999999</v>
      </c>
    </row>
    <row r="9" spans="1:5" x14ac:dyDescent="0.25">
      <c r="A9" s="90" t="s">
        <v>334</v>
      </c>
      <c r="B9" s="90">
        <v>9.3800000000000008</v>
      </c>
      <c r="C9" s="91">
        <v>5283.768</v>
      </c>
      <c r="D9" s="90">
        <v>563.29999999999995</v>
      </c>
      <c r="E9" s="92">
        <v>1.0934999999999999</v>
      </c>
    </row>
    <row r="10" spans="1:5" x14ac:dyDescent="0.25">
      <c r="A10" s="90" t="s">
        <v>1462</v>
      </c>
      <c r="B10" s="90">
        <v>8.0380000000000003</v>
      </c>
      <c r="C10" s="91">
        <v>5165.835</v>
      </c>
      <c r="D10" s="90">
        <v>642.70000000000005</v>
      </c>
      <c r="E10" s="92">
        <v>1.0934999999999999</v>
      </c>
    </row>
    <row r="11" spans="1:5" x14ac:dyDescent="0.25">
      <c r="A11" s="90" t="s">
        <v>1090</v>
      </c>
      <c r="B11" s="90">
        <v>5.2560000000000002</v>
      </c>
      <c r="C11" s="91">
        <v>3459.1950000000002</v>
      </c>
      <c r="D11" s="90">
        <v>658.1</v>
      </c>
      <c r="E11" s="92">
        <v>1.0934999999999999</v>
      </c>
    </row>
    <row r="12" spans="1:5" x14ac:dyDescent="0.25">
      <c r="A12" s="90" t="s">
        <v>1441</v>
      </c>
      <c r="B12" s="90">
        <v>11.097</v>
      </c>
      <c r="C12" s="91">
        <v>7419.2659999999996</v>
      </c>
      <c r="D12" s="90">
        <v>668.6</v>
      </c>
      <c r="E12" s="92">
        <v>1.0934999999999999</v>
      </c>
    </row>
    <row r="13" spans="1:5" x14ac:dyDescent="0.25">
      <c r="A13" s="90" t="s">
        <v>360</v>
      </c>
      <c r="B13" s="90">
        <v>3.613</v>
      </c>
      <c r="C13" s="91">
        <v>2427.4850000000001</v>
      </c>
      <c r="D13" s="90">
        <v>671.9</v>
      </c>
      <c r="E13" s="92">
        <v>1.0934999999999999</v>
      </c>
    </row>
    <row r="14" spans="1:5" x14ac:dyDescent="0.25">
      <c r="A14" s="90" t="s">
        <v>1468</v>
      </c>
      <c r="B14" s="90">
        <v>2.625</v>
      </c>
      <c r="C14" s="91">
        <v>1942.077</v>
      </c>
      <c r="D14" s="90">
        <v>739.8</v>
      </c>
      <c r="E14" s="92">
        <v>1.0934999999999999</v>
      </c>
    </row>
    <row r="15" spans="1:5" x14ac:dyDescent="0.25">
      <c r="A15" s="90" t="s">
        <v>813</v>
      </c>
      <c r="B15" s="90">
        <v>3.1040000000000001</v>
      </c>
      <c r="C15" s="91">
        <v>2296.3000000000002</v>
      </c>
      <c r="D15" s="90">
        <v>739.8</v>
      </c>
      <c r="E15" s="92">
        <v>1.0934999999999999</v>
      </c>
    </row>
    <row r="16" spans="1:5" x14ac:dyDescent="0.25">
      <c r="A16" s="90" t="s">
        <v>1466</v>
      </c>
      <c r="B16" s="90">
        <v>27.760999999999999</v>
      </c>
      <c r="C16" s="91">
        <v>21124.857</v>
      </c>
      <c r="D16" s="90">
        <v>761</v>
      </c>
      <c r="E16" s="92">
        <v>1.0934999999999999</v>
      </c>
    </row>
    <row r="17" spans="1:5" x14ac:dyDescent="0.25">
      <c r="A17" s="90" t="s">
        <v>1456</v>
      </c>
      <c r="B17" s="90">
        <v>7.8920000000000003</v>
      </c>
      <c r="C17" s="91">
        <v>6059.7250000000004</v>
      </c>
      <c r="D17" s="90">
        <v>767.8</v>
      </c>
      <c r="E17" s="92">
        <v>1.0934999999999999</v>
      </c>
    </row>
    <row r="18" spans="1:5" x14ac:dyDescent="0.25">
      <c r="A18" s="90" t="s">
        <v>364</v>
      </c>
      <c r="B18" s="90">
        <v>3.6360000000000001</v>
      </c>
      <c r="C18" s="91">
        <v>2807.2080000000001</v>
      </c>
      <c r="D18" s="90">
        <v>772.1</v>
      </c>
      <c r="E18" s="92">
        <v>1.0934999999999999</v>
      </c>
    </row>
    <row r="19" spans="1:5" x14ac:dyDescent="0.25">
      <c r="A19" s="90" t="s">
        <v>1455</v>
      </c>
      <c r="B19" s="90">
        <v>14.782999999999999</v>
      </c>
      <c r="C19" s="91">
        <v>11488.864</v>
      </c>
      <c r="D19" s="90">
        <v>777.2</v>
      </c>
      <c r="E19" s="92">
        <v>1.0934999999999999</v>
      </c>
    </row>
    <row r="20" spans="1:5" x14ac:dyDescent="0.25">
      <c r="A20" s="90" t="s">
        <v>1461</v>
      </c>
      <c r="B20" s="90">
        <v>17.405999999999999</v>
      </c>
      <c r="C20" s="91">
        <v>13874.706</v>
      </c>
      <c r="D20" s="90">
        <v>797.1</v>
      </c>
      <c r="E20" s="92">
        <v>1.0934999999999999</v>
      </c>
    </row>
    <row r="21" spans="1:5" x14ac:dyDescent="0.25">
      <c r="A21" s="90" t="s">
        <v>1457</v>
      </c>
      <c r="B21" s="90">
        <v>20.204000000000001</v>
      </c>
      <c r="C21" s="91">
        <v>16257.1</v>
      </c>
      <c r="D21" s="90">
        <v>804.6</v>
      </c>
      <c r="E21" s="92">
        <v>1.0934999999999999</v>
      </c>
    </row>
    <row r="22" spans="1:5" x14ac:dyDescent="0.25">
      <c r="A22" s="90" t="s">
        <v>1463</v>
      </c>
      <c r="B22" s="90">
        <v>15.363</v>
      </c>
      <c r="C22" s="91">
        <v>12568.534</v>
      </c>
      <c r="D22" s="90">
        <v>818.1</v>
      </c>
      <c r="E22" s="92">
        <v>1.0934999999999999</v>
      </c>
    </row>
    <row r="23" spans="1:5" x14ac:dyDescent="0.25">
      <c r="A23" s="90" t="s">
        <v>1098</v>
      </c>
      <c r="B23" s="90">
        <v>4.2859999999999996</v>
      </c>
      <c r="C23" s="91">
        <v>3649.5239999999999</v>
      </c>
      <c r="D23" s="90">
        <v>851.5</v>
      </c>
      <c r="E23" s="92">
        <v>1.0934999999999999</v>
      </c>
    </row>
    <row r="24" spans="1:5" x14ac:dyDescent="0.25">
      <c r="A24" s="90" t="s">
        <v>1467</v>
      </c>
      <c r="B24" s="90">
        <v>33.335000000000001</v>
      </c>
      <c r="C24" s="91">
        <v>28866.187000000002</v>
      </c>
      <c r="D24" s="90">
        <v>865.9</v>
      </c>
      <c r="E24" s="92">
        <v>1.0934999999999999</v>
      </c>
    </row>
    <row r="25" spans="1:5" x14ac:dyDescent="0.25">
      <c r="A25" s="90" t="s">
        <v>1459</v>
      </c>
      <c r="B25" s="90">
        <v>10.882999999999999</v>
      </c>
      <c r="C25" s="91">
        <v>9575.527</v>
      </c>
      <c r="D25" s="90">
        <v>879.9</v>
      </c>
      <c r="E25" s="92">
        <v>1.0934999999999999</v>
      </c>
    </row>
    <row r="26" spans="1:5" x14ac:dyDescent="0.25">
      <c r="A26" s="90" t="s">
        <v>346</v>
      </c>
      <c r="B26" s="90">
        <v>3.899</v>
      </c>
      <c r="C26" s="91">
        <v>3491.46</v>
      </c>
      <c r="D26" s="90">
        <v>895.5</v>
      </c>
      <c r="E26" s="92">
        <v>1.0934999999999999</v>
      </c>
    </row>
    <row r="27" spans="1:5" x14ac:dyDescent="0.25">
      <c r="A27" s="90" t="s">
        <v>336</v>
      </c>
      <c r="B27" s="90">
        <v>11.983000000000001</v>
      </c>
      <c r="C27" s="91">
        <v>10843.347</v>
      </c>
      <c r="D27" s="90">
        <v>904.9</v>
      </c>
      <c r="E27" s="92">
        <v>1.0934999999999999</v>
      </c>
    </row>
    <row r="28" spans="1:5" x14ac:dyDescent="0.25">
      <c r="A28" s="90" t="s">
        <v>1470</v>
      </c>
      <c r="B28" s="90">
        <v>36.372999999999998</v>
      </c>
      <c r="C28" s="91">
        <v>32927.716999999997</v>
      </c>
      <c r="D28" s="90">
        <v>905.3</v>
      </c>
      <c r="E28" s="92">
        <v>1.0934999999999999</v>
      </c>
    </row>
    <row r="29" spans="1:5" x14ac:dyDescent="0.25">
      <c r="A29" s="90" t="s">
        <v>1460</v>
      </c>
      <c r="B29" s="90">
        <v>6.76</v>
      </c>
      <c r="C29" s="91">
        <v>6142.759</v>
      </c>
      <c r="D29" s="90">
        <v>908.7</v>
      </c>
      <c r="E29" s="92">
        <v>1.0934999999999999</v>
      </c>
    </row>
    <row r="30" spans="1:5" x14ac:dyDescent="0.25">
      <c r="A30" s="90" t="s">
        <v>1464</v>
      </c>
      <c r="B30" s="90">
        <v>4.13</v>
      </c>
      <c r="C30" s="91">
        <v>3783.8119999999999</v>
      </c>
      <c r="D30" s="90">
        <v>916.2</v>
      </c>
      <c r="E30" s="92">
        <v>1.0934999999999999</v>
      </c>
    </row>
    <row r="31" spans="1:5" x14ac:dyDescent="0.25">
      <c r="A31" s="90" t="s">
        <v>366</v>
      </c>
      <c r="B31" s="90">
        <v>10.493</v>
      </c>
      <c r="C31" s="91">
        <v>9669.884</v>
      </c>
      <c r="D31" s="90">
        <v>921.6</v>
      </c>
      <c r="E31" s="92">
        <v>1.0934999999999999</v>
      </c>
    </row>
    <row r="32" spans="1:5" x14ac:dyDescent="0.25">
      <c r="A32" s="90" t="s">
        <v>340</v>
      </c>
      <c r="B32" s="90">
        <v>8.3000000000000007</v>
      </c>
      <c r="C32" s="91">
        <v>7704.4520000000002</v>
      </c>
      <c r="D32" s="90">
        <v>928.2</v>
      </c>
      <c r="E32" s="92">
        <v>1.0934999999999999</v>
      </c>
    </row>
    <row r="33" spans="1:5" x14ac:dyDescent="0.25">
      <c r="A33" s="90" t="s">
        <v>362</v>
      </c>
      <c r="B33" s="90">
        <v>8.077</v>
      </c>
      <c r="C33" s="91">
        <v>7773.5479999999998</v>
      </c>
      <c r="D33" s="90">
        <v>962.4</v>
      </c>
      <c r="E33" s="92">
        <v>1.0934999999999999</v>
      </c>
    </row>
    <row r="34" spans="1:5" x14ac:dyDescent="0.25">
      <c r="A34" s="90" t="s">
        <v>1100</v>
      </c>
      <c r="B34" s="90">
        <v>8.0139999999999993</v>
      </c>
      <c r="C34" s="91">
        <v>7738.3</v>
      </c>
      <c r="D34" s="90">
        <v>965.6</v>
      </c>
      <c r="E34" s="92">
        <v>1.0934999999999999</v>
      </c>
    </row>
    <row r="35" spans="1:5" x14ac:dyDescent="0.25">
      <c r="A35" s="90" t="s">
        <v>1088</v>
      </c>
      <c r="B35" s="90">
        <v>8.7360000000000007</v>
      </c>
      <c r="C35" s="91">
        <v>8894.0149999999994</v>
      </c>
      <c r="D35" s="91">
        <v>1018.1</v>
      </c>
      <c r="E35" s="92">
        <v>1.0934999999999999</v>
      </c>
    </row>
    <row r="36" spans="1:5" x14ac:dyDescent="0.25">
      <c r="A36" s="90" t="s">
        <v>1458</v>
      </c>
      <c r="B36" s="90">
        <v>17.808</v>
      </c>
      <c r="C36" s="91">
        <v>18321.317999999999</v>
      </c>
      <c r="D36" s="91">
        <v>1028.8</v>
      </c>
      <c r="E36" s="92">
        <v>1.0934999999999999</v>
      </c>
    </row>
    <row r="37" spans="1:5" x14ac:dyDescent="0.25">
      <c r="A37" s="93" t="s">
        <v>2698</v>
      </c>
      <c r="B37" s="93">
        <v>503.45100000000002</v>
      </c>
      <c r="C37" s="94">
        <v>536416.39599999995</v>
      </c>
      <c r="D37" s="95">
        <v>1065.5</v>
      </c>
    </row>
    <row r="38" spans="1:5" x14ac:dyDescent="0.25">
      <c r="A38" s="90" t="s">
        <v>332</v>
      </c>
      <c r="B38" s="90">
        <v>22.74</v>
      </c>
      <c r="C38" s="91">
        <v>24472.335999999999</v>
      </c>
      <c r="D38" s="91">
        <v>1076.2</v>
      </c>
      <c r="E38" s="92">
        <v>0.81030000000000002</v>
      </c>
    </row>
    <row r="39" spans="1:5" x14ac:dyDescent="0.25">
      <c r="A39" s="90" t="s">
        <v>1465</v>
      </c>
      <c r="B39" s="90">
        <v>24.576000000000001</v>
      </c>
      <c r="C39" s="91">
        <v>27716.413</v>
      </c>
      <c r="D39" s="91">
        <v>1127.8</v>
      </c>
      <c r="E39" s="92">
        <f>E38</f>
        <v>0.81030000000000002</v>
      </c>
    </row>
    <row r="40" spans="1:5" x14ac:dyDescent="0.25">
      <c r="A40" s="90" t="s">
        <v>1092</v>
      </c>
      <c r="B40" s="90">
        <v>2.8050000000000002</v>
      </c>
      <c r="C40" s="91">
        <v>3337.7069999999999</v>
      </c>
      <c r="D40" s="91">
        <v>1189.9000000000001</v>
      </c>
      <c r="E40" s="92">
        <f t="shared" ref="E40:E54" si="0">E39</f>
        <v>0.81030000000000002</v>
      </c>
    </row>
    <row r="41" spans="1:5" x14ac:dyDescent="0.25">
      <c r="A41" s="90" t="s">
        <v>1469</v>
      </c>
      <c r="B41" s="90">
        <v>25.959</v>
      </c>
      <c r="C41" s="91">
        <v>30930.208999999999</v>
      </c>
      <c r="D41" s="91">
        <v>1191.5</v>
      </c>
      <c r="E41" s="92">
        <f t="shared" si="0"/>
        <v>0.81030000000000002</v>
      </c>
    </row>
    <row r="42" spans="1:5" x14ac:dyDescent="0.25">
      <c r="A42" s="90" t="s">
        <v>1094</v>
      </c>
      <c r="B42" s="90">
        <v>12.521000000000001</v>
      </c>
      <c r="C42" s="91">
        <v>15087.663</v>
      </c>
      <c r="D42" s="91">
        <v>1205</v>
      </c>
      <c r="E42" s="92">
        <f t="shared" si="0"/>
        <v>0.81030000000000002</v>
      </c>
    </row>
    <row r="43" spans="1:5" x14ac:dyDescent="0.25">
      <c r="A43" s="90" t="s">
        <v>350</v>
      </c>
      <c r="B43" s="90">
        <v>3.202</v>
      </c>
      <c r="C43" s="91">
        <v>4017.3969999999999</v>
      </c>
      <c r="D43" s="91">
        <v>1254.7</v>
      </c>
      <c r="E43" s="92">
        <f t="shared" si="0"/>
        <v>0.81030000000000002</v>
      </c>
    </row>
    <row r="44" spans="1:5" x14ac:dyDescent="0.25">
      <c r="A44" s="90" t="s">
        <v>354</v>
      </c>
      <c r="B44" s="90">
        <v>6.5419999999999998</v>
      </c>
      <c r="C44" s="91">
        <v>8226.7659999999996</v>
      </c>
      <c r="D44" s="91">
        <v>1257.5</v>
      </c>
      <c r="E44" s="92">
        <f t="shared" si="0"/>
        <v>0.81030000000000002</v>
      </c>
    </row>
    <row r="45" spans="1:5" x14ac:dyDescent="0.25">
      <c r="A45" s="90" t="s">
        <v>358</v>
      </c>
      <c r="B45" s="90">
        <v>3.6880000000000002</v>
      </c>
      <c r="C45" s="91">
        <v>4644.518</v>
      </c>
      <c r="D45" s="91">
        <v>1259.4000000000001</v>
      </c>
      <c r="E45" s="92">
        <f t="shared" si="0"/>
        <v>0.81030000000000002</v>
      </c>
    </row>
    <row r="46" spans="1:5" x14ac:dyDescent="0.25">
      <c r="A46" s="90" t="s">
        <v>1096</v>
      </c>
      <c r="B46" s="90">
        <v>3.58</v>
      </c>
      <c r="C46" s="91">
        <v>4612.2</v>
      </c>
      <c r="D46" s="91">
        <v>1288.3</v>
      </c>
      <c r="E46" s="92">
        <f t="shared" si="0"/>
        <v>0.81030000000000002</v>
      </c>
    </row>
    <row r="47" spans="1:5" x14ac:dyDescent="0.25">
      <c r="A47" s="90" t="s">
        <v>1454</v>
      </c>
      <c r="B47" s="90">
        <v>6.2039999999999997</v>
      </c>
      <c r="C47" s="91">
        <v>8017.73</v>
      </c>
      <c r="D47" s="91">
        <v>1292.3</v>
      </c>
      <c r="E47" s="92">
        <f t="shared" si="0"/>
        <v>0.81030000000000002</v>
      </c>
    </row>
    <row r="48" spans="1:5" x14ac:dyDescent="0.25">
      <c r="A48" s="90" t="s">
        <v>810</v>
      </c>
      <c r="B48" s="90">
        <v>20.867999999999999</v>
      </c>
      <c r="C48" s="91">
        <v>30731.241999999998</v>
      </c>
      <c r="D48" s="91">
        <v>1472.6</v>
      </c>
      <c r="E48" s="92">
        <f t="shared" si="0"/>
        <v>0.81030000000000002</v>
      </c>
    </row>
    <row r="49" spans="1:5" x14ac:dyDescent="0.25">
      <c r="A49" s="90" t="s">
        <v>2634</v>
      </c>
      <c r="B49" s="90">
        <v>7.9169999999999998</v>
      </c>
      <c r="C49" s="91">
        <v>12162.29</v>
      </c>
      <c r="D49" s="91">
        <v>1536.2</v>
      </c>
      <c r="E49" s="92">
        <f t="shared" si="0"/>
        <v>0.81030000000000002</v>
      </c>
    </row>
    <row r="50" spans="1:5" x14ac:dyDescent="0.25">
      <c r="A50" s="90" t="s">
        <v>342</v>
      </c>
      <c r="B50" s="90">
        <v>5.94</v>
      </c>
      <c r="C50" s="91">
        <v>11264.572</v>
      </c>
      <c r="D50" s="91">
        <v>1896.4</v>
      </c>
      <c r="E50" s="92">
        <f t="shared" si="0"/>
        <v>0.81030000000000002</v>
      </c>
    </row>
    <row r="51" spans="1:5" x14ac:dyDescent="0.25">
      <c r="A51" s="90" t="s">
        <v>356</v>
      </c>
      <c r="B51" s="90">
        <v>2.8620000000000001</v>
      </c>
      <c r="C51" s="91">
        <v>5484.8119999999999</v>
      </c>
      <c r="D51" s="91">
        <v>1916.4</v>
      </c>
      <c r="E51" s="92">
        <f t="shared" si="0"/>
        <v>0.81030000000000002</v>
      </c>
    </row>
    <row r="52" spans="1:5" x14ac:dyDescent="0.25">
      <c r="A52" s="90" t="s">
        <v>344</v>
      </c>
      <c r="B52" s="90">
        <v>3.42</v>
      </c>
      <c r="C52" s="91">
        <v>6849.2929999999997</v>
      </c>
      <c r="D52" s="91">
        <v>2002.7</v>
      </c>
      <c r="E52" s="92">
        <f t="shared" si="0"/>
        <v>0.81030000000000002</v>
      </c>
    </row>
    <row r="53" spans="1:5" x14ac:dyDescent="0.25">
      <c r="A53" s="90" t="s">
        <v>348</v>
      </c>
      <c r="B53" s="90">
        <v>5.73</v>
      </c>
      <c r="C53" s="91">
        <v>15594.61</v>
      </c>
      <c r="D53" s="91">
        <v>2721.6</v>
      </c>
      <c r="E53" s="92">
        <f t="shared" si="0"/>
        <v>0.81030000000000002</v>
      </c>
    </row>
    <row r="54" spans="1:5" x14ac:dyDescent="0.25">
      <c r="A54" s="90" t="s">
        <v>352</v>
      </c>
      <c r="B54" s="90">
        <v>7.7110000000000003</v>
      </c>
      <c r="C54" s="91">
        <v>46521.836000000003</v>
      </c>
      <c r="D54" s="91">
        <v>6033.2</v>
      </c>
      <c r="E54" s="92">
        <f t="shared" si="0"/>
        <v>0.81030000000000002</v>
      </c>
    </row>
  </sheetData>
  <autoFilter ref="A5:D6">
    <sortState ref="A8:D52">
      <sortCondition ref="D3:D4"/>
    </sortState>
  </autoFilter>
  <mergeCells count="7">
    <mergeCell ref="A3:E3"/>
    <mergeCell ref="E5:E6"/>
    <mergeCell ref="A5:A6"/>
    <mergeCell ref="B5:B6"/>
    <mergeCell ref="C5:C6"/>
    <mergeCell ref="D5:D6"/>
    <mergeCell ref="A4:E4"/>
  </mergeCells>
  <pageMargins left="0.19685039370078741" right="0.19685039370078741" top="0.19685039370078741" bottom="0.19685039370078741" header="0.31496062992125984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3</vt:i4>
      </vt:variant>
    </vt:vector>
  </HeadingPairs>
  <TitlesOfParts>
    <vt:vector size="5" baseType="lpstr">
      <vt:lpstr>ПДФО МІСТА-РАЙОНИ_ГРОМАД</vt:lpstr>
      <vt:lpstr>Аркуш1</vt:lpstr>
      <vt:lpstr>Аркуш1!Заголовки_для_друку</vt:lpstr>
      <vt:lpstr>'ПДФО МІСТА-РАЙОНИ_ГРОМАД'!Заголовки_для_друку</vt:lpstr>
      <vt:lpstr>'ПДФО МІСТА-РАЙОНИ_ГРОМАД'!Область_друку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Наталія Володимировна Лавріненко</cp:lastModifiedBy>
  <cp:lastPrinted>2017-12-15T14:12:31Z</cp:lastPrinted>
  <dcterms:created xsi:type="dcterms:W3CDTF">2015-07-29T07:17:08Z</dcterms:created>
  <dcterms:modified xsi:type="dcterms:W3CDTF">2017-12-15T14:12:49Z</dcterms:modified>
</cp:coreProperties>
</file>